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13_ncr:1_{01146F3A-C8CC-4F86-9331-E77A3B0EFFF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" sheetId="11" r:id="rId1"/>
    <sheet name="UJ" sheetId="13" state="hidden" r:id="rId2"/>
    <sheet name="DETAIL (2)" sheetId="12" state="hidden" r:id="rId3"/>
  </sheets>
  <definedNames>
    <definedName name="_xlnm.Print_Area" localSheetId="0">DETAIL!$A$1:$K$362</definedName>
    <definedName name="_xlnm.Print_Area" localSheetId="2">'DETAIL (2)'!$A$1:$F$20</definedName>
    <definedName name="_xlnm.Print_Area" localSheetId="1">UJ!$A$1:$I$31</definedName>
    <definedName name="_xlnm.Print_Titles" localSheetId="0">DETAIL!$1:$6</definedName>
    <definedName name="_xlnm.Print_Titles" localSheetId="2">'DETAIL (2)'!$1:$7</definedName>
    <definedName name="_xlnm.Print_Titles" localSheetId="1">UJ!$1:$7</definedName>
  </definedNames>
  <calcPr calcId="191029"/>
</workbook>
</file>

<file path=xl/calcChain.xml><?xml version="1.0" encoding="utf-8"?>
<calcChain xmlns="http://schemas.openxmlformats.org/spreadsheetml/2006/main">
  <c r="I336" i="11" l="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35" i="11"/>
  <c r="I333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12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296" i="11"/>
  <c r="I289" i="11"/>
  <c r="I290" i="11"/>
  <c r="I291" i="11"/>
  <c r="I292" i="11"/>
  <c r="I293" i="11"/>
  <c r="I294" i="11"/>
  <c r="I288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49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28" i="11"/>
  <c r="I225" i="11"/>
  <c r="I226" i="11"/>
  <c r="I224" i="11"/>
  <c r="I222" i="11"/>
  <c r="I215" i="11"/>
  <c r="I216" i="11"/>
  <c r="I217" i="11"/>
  <c r="I218" i="11"/>
  <c r="I219" i="11"/>
  <c r="I220" i="11"/>
  <c r="I214" i="11"/>
  <c r="I209" i="11"/>
  <c r="I210" i="11"/>
  <c r="I211" i="11"/>
  <c r="I212" i="11"/>
  <c r="I208" i="11"/>
  <c r="I203" i="11"/>
  <c r="I204" i="11"/>
  <c r="I205" i="11"/>
  <c r="I206" i="11"/>
  <c r="I202" i="11"/>
  <c r="I198" i="11"/>
  <c r="I199" i="11"/>
  <c r="I200" i="11"/>
  <c r="I197" i="11"/>
  <c r="I192" i="11"/>
  <c r="I193" i="11"/>
  <c r="I194" i="11"/>
  <c r="I195" i="11"/>
  <c r="I191" i="11"/>
  <c r="I187" i="11"/>
  <c r="I188" i="11"/>
  <c r="I189" i="11"/>
  <c r="I186" i="11"/>
  <c r="I183" i="11"/>
  <c r="I184" i="11"/>
  <c r="I182" i="11"/>
  <c r="I179" i="11"/>
  <c r="I180" i="11"/>
  <c r="I178" i="11"/>
  <c r="I174" i="11"/>
  <c r="I175" i="11"/>
  <c r="I176" i="11"/>
  <c r="I173" i="11"/>
  <c r="I170" i="11"/>
  <c r="I171" i="11"/>
  <c r="I169" i="11"/>
  <c r="I166" i="11"/>
  <c r="I167" i="11"/>
  <c r="I165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41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20" i="11"/>
  <c r="I109" i="11"/>
  <c r="I110" i="11"/>
  <c r="I111" i="11"/>
  <c r="I112" i="11"/>
  <c r="I113" i="11"/>
  <c r="I114" i="11"/>
  <c r="I115" i="11"/>
  <c r="I117" i="11"/>
  <c r="I108" i="11"/>
  <c r="I101" i="11"/>
  <c r="I102" i="11"/>
  <c r="I103" i="11"/>
  <c r="I104" i="11"/>
  <c r="I105" i="11"/>
  <c r="I100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81" i="11"/>
  <c r="I76" i="11"/>
  <c r="I77" i="11"/>
  <c r="I78" i="11"/>
  <c r="I79" i="11"/>
  <c r="I75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37" i="11"/>
  <c r="I35" i="11"/>
  <c r="I3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14" i="11"/>
  <c r="I9" i="11"/>
  <c r="I10" i="11"/>
  <c r="I11" i="11"/>
  <c r="I12" i="11"/>
  <c r="I8" i="11"/>
  <c r="A334" i="11"/>
  <c r="E354" i="11"/>
  <c r="J354" i="11" s="1"/>
  <c r="E353" i="11"/>
  <c r="E352" i="11"/>
  <c r="J352" i="11" s="1"/>
  <c r="J351" i="11"/>
  <c r="E351" i="11"/>
  <c r="J350" i="11"/>
  <c r="E350" i="11"/>
  <c r="J349" i="11"/>
  <c r="E349" i="11"/>
  <c r="E348" i="11"/>
  <c r="J348" i="11" s="1"/>
  <c r="E347" i="11"/>
  <c r="J347" i="11" s="1"/>
  <c r="E346" i="11"/>
  <c r="J346" i="11" s="1"/>
  <c r="E345" i="11"/>
  <c r="J345" i="11" s="1"/>
  <c r="E344" i="11"/>
  <c r="J344" i="11" s="1"/>
  <c r="E343" i="11"/>
  <c r="J343" i="11" s="1"/>
  <c r="J342" i="11"/>
  <c r="E342" i="11"/>
  <c r="E341" i="11"/>
  <c r="J341" i="11" s="1"/>
  <c r="E340" i="11"/>
  <c r="J340" i="11" s="1"/>
  <c r="E339" i="11"/>
  <c r="J339" i="11" s="1"/>
  <c r="E338" i="11"/>
  <c r="J338" i="11" s="1"/>
  <c r="E337" i="11"/>
  <c r="J337" i="11" s="1"/>
  <c r="E336" i="11"/>
  <c r="J336" i="11" s="1"/>
  <c r="E335" i="11"/>
  <c r="A207" i="11"/>
  <c r="E206" i="11"/>
  <c r="C61" i="11"/>
  <c r="C60" i="11"/>
  <c r="E60" i="11" s="1"/>
  <c r="J60" i="11" s="1"/>
  <c r="E61" i="11"/>
  <c r="E205" i="11"/>
  <c r="J205" i="11" s="1"/>
  <c r="A201" i="11"/>
  <c r="E204" i="11"/>
  <c r="J204" i="11" s="1"/>
  <c r="E203" i="11"/>
  <c r="J203" i="11" s="1"/>
  <c r="E202" i="11"/>
  <c r="J202" i="11" s="1"/>
  <c r="C211" i="11"/>
  <c r="C218" i="11"/>
  <c r="A221" i="11"/>
  <c r="A223" i="11"/>
  <c r="A227" i="11"/>
  <c r="C226" i="11"/>
  <c r="E226" i="11" s="1"/>
  <c r="C225" i="11"/>
  <c r="E225" i="11" s="1"/>
  <c r="J225" i="11" s="1"/>
  <c r="C224" i="11"/>
  <c r="E224" i="11" s="1"/>
  <c r="C222" i="11"/>
  <c r="E222" i="11" s="1"/>
  <c r="J222" i="11" s="1"/>
  <c r="J353" i="11" l="1"/>
  <c r="J335" i="11"/>
  <c r="K334" i="11"/>
  <c r="J226" i="11"/>
  <c r="J206" i="11"/>
  <c r="J61" i="11"/>
  <c r="F18" i="12" l="1"/>
  <c r="F17" i="12" s="1"/>
  <c r="D17" i="12"/>
  <c r="F16" i="12"/>
  <c r="F15" i="12"/>
  <c r="F14" i="12" s="1"/>
  <c r="D14" i="12"/>
  <c r="F13" i="12"/>
  <c r="F12" i="12"/>
  <c r="D11" i="12"/>
  <c r="F10" i="12" s="1"/>
  <c r="D10" i="12"/>
  <c r="F9" i="12" s="1"/>
  <c r="D9" i="12"/>
  <c r="F6" i="12"/>
  <c r="F19" i="13"/>
  <c r="F18" i="13"/>
  <c r="N17" i="13"/>
  <c r="I17" i="13" s="1"/>
  <c r="F17" i="13"/>
  <c r="F16" i="13"/>
  <c r="F15" i="13"/>
  <c r="L14" i="13"/>
  <c r="I14" i="13" s="1"/>
  <c r="F14" i="13"/>
  <c r="N13" i="13"/>
  <c r="F13" i="13"/>
  <c r="N12" i="13"/>
  <c r="I12" i="13" s="1"/>
  <c r="F12" i="13"/>
  <c r="N11" i="13"/>
  <c r="F11" i="13"/>
  <c r="N10" i="13"/>
  <c r="L10" i="13"/>
  <c r="F10" i="13"/>
  <c r="N9" i="13"/>
  <c r="N14" i="13" s="1"/>
  <c r="L9" i="13"/>
  <c r="I9" i="13" s="1"/>
  <c r="F9" i="13"/>
  <c r="I6" i="13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A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A295" i="11"/>
  <c r="E294" i="11"/>
  <c r="E293" i="11"/>
  <c r="E292" i="11"/>
  <c r="E291" i="11"/>
  <c r="E290" i="11"/>
  <c r="E289" i="11"/>
  <c r="E288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F11" i="12" l="1"/>
  <c r="F20" i="12" s="1"/>
  <c r="N15" i="13"/>
  <c r="I15" i="13" s="1"/>
  <c r="N18" i="13"/>
  <c r="I18" i="13" s="1"/>
  <c r="I11" i="13"/>
  <c r="I13" i="13"/>
  <c r="O14" i="13"/>
  <c r="I16" i="13"/>
  <c r="I10" i="13"/>
  <c r="P14" i="13"/>
  <c r="J294" i="11"/>
  <c r="J310" i="11"/>
  <c r="J333" i="11"/>
  <c r="E252" i="11"/>
  <c r="E251" i="11"/>
  <c r="E250" i="11"/>
  <c r="E249" i="11" l="1"/>
  <c r="A248" i="11"/>
  <c r="E247" i="11"/>
  <c r="E246" i="11"/>
  <c r="E245" i="11"/>
  <c r="E244" i="11"/>
  <c r="E243" i="11"/>
  <c r="E242" i="11"/>
  <c r="J242" i="11" s="1"/>
  <c r="E241" i="11"/>
  <c r="E240" i="11"/>
  <c r="J240" i="11" s="1"/>
  <c r="E239" i="11"/>
  <c r="E238" i="11"/>
  <c r="J238" i="11" s="1"/>
  <c r="E237" i="11"/>
  <c r="E236" i="11"/>
  <c r="J236" i="11" s="1"/>
  <c r="E235" i="11"/>
  <c r="E234" i="11"/>
  <c r="E233" i="11"/>
  <c r="E232" i="11"/>
  <c r="E231" i="11"/>
  <c r="E230" i="11"/>
  <c r="E229" i="11"/>
  <c r="E228" i="11"/>
  <c r="J220" i="11"/>
  <c r="E220" i="11"/>
  <c r="E219" i="11"/>
  <c r="E218" i="11"/>
  <c r="E217" i="11"/>
  <c r="E216" i="11"/>
  <c r="E215" i="11"/>
  <c r="E214" i="11"/>
  <c r="A213" i="11"/>
  <c r="J212" i="11" s="1"/>
  <c r="E212" i="11"/>
  <c r="E211" i="11"/>
  <c r="E210" i="11"/>
  <c r="E209" i="11"/>
  <c r="E208" i="11"/>
  <c r="E200" i="11"/>
  <c r="J200" i="11" s="1"/>
  <c r="E199" i="11"/>
  <c r="J199" i="11" s="1"/>
  <c r="E198" i="11"/>
  <c r="E197" i="11"/>
  <c r="J197" i="11" s="1"/>
  <c r="A196" i="11"/>
  <c r="E195" i="11"/>
  <c r="E194" i="11"/>
  <c r="E193" i="11"/>
  <c r="E192" i="11"/>
  <c r="J192" i="11" s="1"/>
  <c r="E191" i="11"/>
  <c r="J191" i="11" s="1"/>
  <c r="A190" i="11"/>
  <c r="C189" i="11"/>
  <c r="E189" i="11" s="1"/>
  <c r="J189" i="11" s="1"/>
  <c r="E188" i="11"/>
  <c r="J188" i="11" s="1"/>
  <c r="E187" i="11"/>
  <c r="J187" i="11" s="1"/>
  <c r="C186" i="11"/>
  <c r="E186" i="11" s="1"/>
  <c r="J186" i="11" s="1"/>
  <c r="A185" i="11"/>
  <c r="C184" i="11"/>
  <c r="E184" i="11" s="1"/>
  <c r="E183" i="11"/>
  <c r="C182" i="11"/>
  <c r="E182" i="11" s="1"/>
  <c r="A181" i="11"/>
  <c r="C180" i="11"/>
  <c r="E180" i="11" s="1"/>
  <c r="J180" i="11" s="1"/>
  <c r="E179" i="11"/>
  <c r="J179" i="11" s="1"/>
  <c r="C178" i="11"/>
  <c r="E178" i="11" s="1"/>
  <c r="J178" i="11" s="1"/>
  <c r="A177" i="11"/>
  <c r="C176" i="11"/>
  <c r="E176" i="11" s="1"/>
  <c r="E175" i="11"/>
  <c r="E174" i="11"/>
  <c r="C173" i="11"/>
  <c r="E173" i="11" s="1"/>
  <c r="A172" i="11"/>
  <c r="C171" i="11"/>
  <c r="E171" i="11" s="1"/>
  <c r="J171" i="11" s="1"/>
  <c r="E170" i="11"/>
  <c r="J170" i="11" s="1"/>
  <c r="C169" i="11"/>
  <c r="E169" i="11" s="1"/>
  <c r="J169" i="11" s="1"/>
  <c r="A168" i="11"/>
  <c r="C167" i="11"/>
  <c r="E167" i="11" s="1"/>
  <c r="E166" i="11"/>
  <c r="J166" i="11" s="1"/>
  <c r="C165" i="11"/>
  <c r="E165" i="11" s="1"/>
  <c r="J165" i="11" s="1"/>
  <c r="A164" i="11"/>
  <c r="A163" i="11"/>
  <c r="A162" i="11"/>
  <c r="E161" i="11"/>
  <c r="E160" i="11"/>
  <c r="J160" i="11" s="1"/>
  <c r="E159" i="11"/>
  <c r="E158" i="11"/>
  <c r="J158" i="11" s="1"/>
  <c r="E157" i="11"/>
  <c r="J157" i="11" s="1"/>
  <c r="E156" i="11"/>
  <c r="J156" i="11" s="1"/>
  <c r="E155" i="11"/>
  <c r="E154" i="11"/>
  <c r="J154" i="11" s="1"/>
  <c r="E153" i="11"/>
  <c r="E152" i="11"/>
  <c r="J152" i="11" s="1"/>
  <c r="E151" i="11"/>
  <c r="E150" i="11"/>
  <c r="J150" i="11" s="1"/>
  <c r="E149" i="11"/>
  <c r="E148" i="11"/>
  <c r="J148" i="11" s="1"/>
  <c r="E147" i="11"/>
  <c r="E146" i="11"/>
  <c r="J146" i="11" s="1"/>
  <c r="E145" i="11"/>
  <c r="E144" i="11"/>
  <c r="J144" i="11" s="1"/>
  <c r="E143" i="11"/>
  <c r="J142" i="11"/>
  <c r="E142" i="11"/>
  <c r="E141" i="11"/>
  <c r="J141" i="11" s="1"/>
  <c r="A140" i="11"/>
  <c r="E139" i="11"/>
  <c r="J139" i="11" s="1"/>
  <c r="E138" i="11"/>
  <c r="J138" i="11" s="1"/>
  <c r="E137" i="11"/>
  <c r="J137" i="11" s="1"/>
  <c r="E136" i="11"/>
  <c r="E135" i="11"/>
  <c r="J135" i="11" s="1"/>
  <c r="E134" i="11"/>
  <c r="J134" i="11" s="1"/>
  <c r="E133" i="11"/>
  <c r="J133" i="11" s="1"/>
  <c r="E132" i="11"/>
  <c r="J132" i="11" s="1"/>
  <c r="E131" i="11"/>
  <c r="J131" i="11" s="1"/>
  <c r="E130" i="11"/>
  <c r="J130" i="11" s="1"/>
  <c r="E129" i="11"/>
  <c r="J129" i="11" s="1"/>
  <c r="E128" i="11"/>
  <c r="J128" i="11" s="1"/>
  <c r="E127" i="11"/>
  <c r="J127" i="11" s="1"/>
  <c r="E126" i="11"/>
  <c r="J126" i="11" s="1"/>
  <c r="E125" i="11"/>
  <c r="J125" i="11" s="1"/>
  <c r="E124" i="11"/>
  <c r="J124" i="11" s="1"/>
  <c r="E123" i="11"/>
  <c r="J123" i="11" s="1"/>
  <c r="E122" i="11"/>
  <c r="J122" i="11" s="1"/>
  <c r="E121" i="11"/>
  <c r="J121" i="11" s="1"/>
  <c r="E120" i="11"/>
  <c r="J120" i="11" s="1"/>
  <c r="A119" i="11"/>
  <c r="A118" i="11"/>
  <c r="E117" i="11"/>
  <c r="A116" i="11"/>
  <c r="E115" i="11"/>
  <c r="E114" i="11"/>
  <c r="E113" i="11"/>
  <c r="E112" i="11"/>
  <c r="E111" i="11"/>
  <c r="E110" i="11"/>
  <c r="E109" i="11"/>
  <c r="J109" i="11" s="1"/>
  <c r="E108" i="11"/>
  <c r="J108" i="11" s="1"/>
  <c r="J161" i="11" l="1"/>
  <c r="J195" i="11"/>
  <c r="J115" i="11"/>
  <c r="J117" i="11"/>
  <c r="J184" i="11"/>
  <c r="J247" i="11"/>
  <c r="J111" i="11"/>
  <c r="J167" i="11"/>
  <c r="J176" i="11"/>
  <c r="A107" i="11"/>
  <c r="A106" i="11"/>
  <c r="E105" i="11"/>
  <c r="E104" i="11"/>
  <c r="E103" i="11"/>
  <c r="E102" i="11"/>
  <c r="E101" i="11"/>
  <c r="E100" i="11"/>
  <c r="J101" i="11" l="1"/>
  <c r="J103" i="11"/>
  <c r="J105" i="11"/>
  <c r="A99" i="11"/>
  <c r="E98" i="11"/>
  <c r="E97" i="11"/>
  <c r="E96" i="11"/>
  <c r="C95" i="11"/>
  <c r="E94" i="11"/>
  <c r="E93" i="11"/>
  <c r="E92" i="11"/>
  <c r="E91" i="11"/>
  <c r="E90" i="11"/>
  <c r="E89" i="11"/>
  <c r="E88" i="11"/>
  <c r="E87" i="11"/>
  <c r="E86" i="11"/>
  <c r="E85" i="11"/>
  <c r="E84" i="11"/>
  <c r="J98" i="11" l="1"/>
  <c r="E83" i="11"/>
  <c r="E82" i="11"/>
  <c r="E81" i="11"/>
  <c r="J81" i="11" s="1"/>
  <c r="A80" i="11"/>
  <c r="E79" i="11"/>
  <c r="E78" i="11"/>
  <c r="J79" i="11" l="1"/>
  <c r="E77" i="11"/>
  <c r="E76" i="11"/>
  <c r="E75" i="11"/>
  <c r="A74" i="11"/>
  <c r="E73" i="11"/>
  <c r="E72" i="11"/>
  <c r="E71" i="11"/>
  <c r="J73" i="11" l="1"/>
  <c r="E70" i="11"/>
  <c r="E69" i="11" l="1"/>
  <c r="E68" i="11"/>
  <c r="E67" i="11"/>
  <c r="E66" i="11"/>
  <c r="E65" i="11"/>
  <c r="C64" i="11"/>
  <c r="C63" i="11" l="1"/>
  <c r="C62" i="11"/>
  <c r="C59" i="11"/>
  <c r="C58" i="11"/>
  <c r="E57" i="11"/>
  <c r="C56" i="11"/>
  <c r="C55" i="11" l="1"/>
  <c r="C54" i="11" l="1"/>
  <c r="E54" i="11" s="1"/>
  <c r="J54" i="11" s="1"/>
  <c r="C53" i="11" l="1"/>
  <c r="E53" i="11" s="1"/>
  <c r="C52" i="11" l="1"/>
  <c r="E52" i="11" s="1"/>
  <c r="J52" i="11" s="1"/>
  <c r="C51" i="11" l="1"/>
  <c r="E51" i="11" s="1"/>
  <c r="C50" i="11" l="1"/>
  <c r="E50" i="11" s="1"/>
  <c r="J50" i="11" s="1"/>
  <c r="C49" i="11" l="1"/>
  <c r="E49" i="11" s="1"/>
  <c r="C48" i="11" l="1"/>
  <c r="E48" i="11" s="1"/>
  <c r="J48" i="11" s="1"/>
  <c r="C47" i="11" l="1"/>
  <c r="E47" i="11" s="1"/>
  <c r="C46" i="11" l="1"/>
  <c r="E46" i="11" s="1"/>
  <c r="J46" i="11" s="1"/>
  <c r="C45" i="11" l="1"/>
  <c r="E45" i="11" s="1"/>
  <c r="C44" i="11" l="1"/>
  <c r="E44" i="11" s="1"/>
  <c r="J44" i="11" s="1"/>
  <c r="C43" i="11" l="1"/>
  <c r="E43" i="11" s="1"/>
  <c r="C42" i="11" l="1"/>
  <c r="E42" i="11" s="1"/>
  <c r="J42" i="11" s="1"/>
  <c r="C41" i="11"/>
  <c r="E41" i="11" s="1"/>
  <c r="C40" i="11"/>
  <c r="E40" i="11" s="1"/>
  <c r="J40" i="11" s="1"/>
  <c r="C39" i="11" l="1"/>
  <c r="C38" i="11"/>
  <c r="E38" i="11" s="1"/>
  <c r="J38" i="11" s="1"/>
  <c r="C37" i="11"/>
  <c r="A36" i="11"/>
  <c r="E35" i="11"/>
  <c r="C34" i="11"/>
  <c r="A33" i="11"/>
  <c r="E32" i="11"/>
  <c r="E31" i="11"/>
  <c r="C30" i="11"/>
  <c r="C29" i="11"/>
  <c r="C28" i="11"/>
  <c r="J35" i="11" l="1"/>
  <c r="J32" i="11"/>
  <c r="E39" i="11"/>
  <c r="C27" i="11"/>
  <c r="C26" i="11"/>
  <c r="C25" i="11"/>
  <c r="E25" i="11" s="1"/>
  <c r="J25" i="11" s="1"/>
  <c r="C24" i="11"/>
  <c r="C23" i="11"/>
  <c r="E22" i="11" l="1"/>
  <c r="J22" i="11" s="1"/>
  <c r="C21" i="11" l="1"/>
  <c r="C20" i="11" l="1"/>
  <c r="C19" i="11"/>
  <c r="C18" i="11" l="1"/>
  <c r="C17" i="11"/>
  <c r="C16" i="11"/>
  <c r="C15" i="11"/>
  <c r="E18" i="11" l="1"/>
  <c r="J18" i="11" s="1"/>
  <c r="C14" i="11"/>
  <c r="A13" i="11" l="1"/>
  <c r="E12" i="11"/>
  <c r="J12" i="11" l="1"/>
  <c r="E11" i="11"/>
  <c r="E10" i="11" l="1"/>
  <c r="E9" i="11"/>
  <c r="E8" i="11"/>
  <c r="J8" i="11" s="1"/>
  <c r="A7" i="11"/>
  <c r="A8" i="11" l="1"/>
  <c r="J9" i="11"/>
  <c r="A9" i="11" l="1"/>
  <c r="A10" i="11" l="1"/>
  <c r="A11" i="11" s="1"/>
  <c r="A12" i="11" l="1"/>
  <c r="J10" i="11"/>
  <c r="A14" i="11"/>
  <c r="A15" i="11" s="1"/>
  <c r="J11" i="11" l="1"/>
  <c r="A16" i="11"/>
  <c r="A17" i="11" s="1"/>
  <c r="A18" i="11" s="1"/>
  <c r="K7" i="11"/>
  <c r="A19" i="11" l="1"/>
  <c r="A20" i="11" l="1"/>
  <c r="A21" i="11" s="1"/>
  <c r="A22" i="11" s="1"/>
  <c r="A23" i="11" s="1"/>
  <c r="A24" i="11" s="1"/>
  <c r="A25" i="11" s="1"/>
  <c r="A26" i="11" s="1"/>
  <c r="A27" i="11" s="1"/>
  <c r="A28" i="11" s="1"/>
  <c r="A29" i="11" s="1"/>
  <c r="A30" i="11" l="1"/>
  <c r="A31" i="11"/>
  <c r="A32" i="11" l="1"/>
  <c r="J31" i="11" l="1"/>
  <c r="A34" i="11"/>
  <c r="A35" i="11" s="1"/>
  <c r="A37" i="11" l="1"/>
  <c r="A38" i="11" s="1"/>
  <c r="A39" i="11" l="1"/>
  <c r="A40" i="11" s="1"/>
  <c r="J39" i="11" l="1"/>
  <c r="A41" i="11"/>
  <c r="A42" i="11" s="1"/>
  <c r="J41" i="11" l="1"/>
  <c r="A43" i="11"/>
  <c r="A44" i="11" s="1"/>
  <c r="J43" i="11" l="1"/>
  <c r="A45" i="11"/>
  <c r="A46" i="11" s="1"/>
  <c r="J45" i="11" l="1"/>
  <c r="A47" i="11"/>
  <c r="A48" i="11" s="1"/>
  <c r="J47" i="11" l="1"/>
  <c r="A49" i="11"/>
  <c r="A50" i="11" s="1"/>
  <c r="J49" i="11" l="1"/>
  <c r="A51" i="11"/>
  <c r="A52" i="11" s="1"/>
  <c r="J51" i="11" l="1"/>
  <c r="A53" i="11"/>
  <c r="A54" i="11" s="1"/>
  <c r="J53" i="11" l="1"/>
  <c r="A55" i="11"/>
  <c r="A56" i="11" s="1"/>
  <c r="A57" i="11" l="1"/>
  <c r="A58" i="11" l="1"/>
  <c r="J57" i="11" l="1"/>
  <c r="A59" i="11"/>
  <c r="A60" i="11" s="1"/>
  <c r="A61" i="11" s="1"/>
  <c r="A62" i="11" s="1"/>
  <c r="A63" i="11" l="1"/>
  <c r="A64" i="11" l="1"/>
  <c r="A65" i="11" l="1"/>
  <c r="A66" i="11" l="1"/>
  <c r="J65" i="11" l="1"/>
  <c r="A67" i="11"/>
  <c r="J66" i="11" l="1"/>
  <c r="A68" i="11"/>
  <c r="J67" i="11" l="1"/>
  <c r="A69" i="11"/>
  <c r="J68" i="11" l="1"/>
  <c r="A70" i="11"/>
  <c r="J69" i="11" l="1"/>
  <c r="A71" i="11"/>
  <c r="J70" i="11" l="1"/>
  <c r="A72" i="11"/>
  <c r="J71" i="11" l="1"/>
  <c r="A73" i="11"/>
  <c r="J72" i="11" l="1"/>
  <c r="A75" i="11"/>
  <c r="A76" i="11" s="1"/>
  <c r="J75" i="11" l="1"/>
  <c r="A77" i="11"/>
  <c r="J76" i="11" l="1"/>
  <c r="A78" i="11"/>
  <c r="J77" i="11" l="1"/>
  <c r="A79" i="11"/>
  <c r="J78" i="11" l="1"/>
  <c r="A81" i="11"/>
  <c r="A82" i="11" s="1"/>
  <c r="A83" i="11" l="1"/>
  <c r="J82" i="11" l="1"/>
  <c r="A84" i="11"/>
  <c r="J83" i="11" l="1"/>
  <c r="A85" i="11"/>
  <c r="J84" i="11" l="1"/>
  <c r="A86" i="11"/>
  <c r="J85" i="11" l="1"/>
  <c r="A87" i="11"/>
  <c r="J86" i="11" l="1"/>
  <c r="A88" i="11"/>
  <c r="J87" i="11" l="1"/>
  <c r="A89" i="11"/>
  <c r="J88" i="11" l="1"/>
  <c r="A90" i="11"/>
  <c r="J89" i="11" l="1"/>
  <c r="A91" i="11"/>
  <c r="J90" i="11" l="1"/>
  <c r="A92" i="11"/>
  <c r="J91" i="11" l="1"/>
  <c r="A93" i="11"/>
  <c r="J92" i="11" l="1"/>
  <c r="A94" i="11"/>
  <c r="J93" i="11" l="1"/>
  <c r="A95" i="11"/>
  <c r="J94" i="11" l="1"/>
  <c r="A96" i="11"/>
  <c r="A97" i="11" l="1"/>
  <c r="J96" i="11" l="1"/>
  <c r="A98" i="11"/>
  <c r="J97" i="11" l="1"/>
  <c r="A100" i="11"/>
  <c r="A101" i="11" s="1"/>
  <c r="J100" i="11" l="1"/>
  <c r="A102" i="11"/>
  <c r="A103" i="11" s="1"/>
  <c r="J102" i="11" l="1"/>
  <c r="A104" i="11"/>
  <c r="A105" i="11" s="1"/>
  <c r="J104" i="11" l="1"/>
  <c r="A108" i="11"/>
  <c r="A109" i="11" s="1"/>
  <c r="A110" i="11" s="1"/>
  <c r="A111" i="11" s="1"/>
  <c r="J110" i="11" l="1"/>
  <c r="A112" i="11"/>
  <c r="A113" i="11" s="1"/>
  <c r="J112" i="11" l="1"/>
  <c r="A114" i="11"/>
  <c r="J113" i="11" l="1"/>
  <c r="A115" i="11"/>
  <c r="J114" i="11" l="1"/>
  <c r="K106" i="11" s="1"/>
  <c r="A117" i="1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J136" i="11" l="1"/>
  <c r="A138" i="11"/>
  <c r="A139" i="11" s="1"/>
  <c r="A141" i="11" s="1"/>
  <c r="A142" i="11" s="1"/>
  <c r="A143" i="11" s="1"/>
  <c r="A144" i="11" s="1"/>
  <c r="J143" i="11" l="1"/>
  <c r="A145" i="11"/>
  <c r="A146" i="11" s="1"/>
  <c r="J145" i="11" l="1"/>
  <c r="A147" i="11"/>
  <c r="A148" i="11" s="1"/>
  <c r="J147" i="11" l="1"/>
  <c r="A149" i="11"/>
  <c r="A150" i="11" s="1"/>
  <c r="J149" i="11" l="1"/>
  <c r="A151" i="11"/>
  <c r="A152" i="11" s="1"/>
  <c r="J151" i="11" l="1"/>
  <c r="A153" i="11"/>
  <c r="A154" i="11" s="1"/>
  <c r="J153" i="11" l="1"/>
  <c r="A155" i="11"/>
  <c r="A156" i="11" s="1"/>
  <c r="J155" i="11" l="1"/>
  <c r="A157" i="11"/>
  <c r="A158" i="11" s="1"/>
  <c r="A159" i="11" s="1"/>
  <c r="A160" i="11" s="1"/>
  <c r="J159" i="11" l="1"/>
  <c r="K118" i="11" s="1"/>
  <c r="A161" i="11"/>
  <c r="A165" i="11" s="1"/>
  <c r="A166" i="11" s="1"/>
  <c r="A167" i="11" s="1"/>
  <c r="A169" i="11" s="1"/>
  <c r="A170" i="11" s="1"/>
  <c r="A171" i="11" s="1"/>
  <c r="A173" i="11" s="1"/>
  <c r="A174" i="11" s="1"/>
  <c r="J173" i="11" l="1"/>
  <c r="A175" i="11"/>
  <c r="J174" i="11" l="1"/>
  <c r="A176" i="11"/>
  <c r="J175" i="11" l="1"/>
  <c r="A178" i="11"/>
  <c r="A179" i="11" s="1"/>
  <c r="A180" i="11" s="1"/>
  <c r="A182" i="11" s="1"/>
  <c r="A183" i="11" s="1"/>
  <c r="J182" i="11" l="1"/>
  <c r="A184" i="11"/>
  <c r="J183" i="11" l="1"/>
  <c r="A186" i="11"/>
  <c r="A187" i="11" s="1"/>
  <c r="A188" i="11" s="1"/>
  <c r="A189" i="11" s="1"/>
  <c r="A191" i="11" s="1"/>
  <c r="A192" i="11" s="1"/>
  <c r="A193" i="11" s="1"/>
  <c r="A194" i="11" s="1"/>
  <c r="J193" i="11" l="1"/>
  <c r="A195" i="11"/>
  <c r="J194" i="11" l="1"/>
  <c r="A197" i="11"/>
  <c r="A198" i="11" s="1"/>
  <c r="A199" i="11" s="1"/>
  <c r="J198" i="11" l="1"/>
  <c r="A200" i="11"/>
  <c r="A202" i="11" s="1"/>
  <c r="A203" i="11" s="1"/>
  <c r="A204" i="11" s="1"/>
  <c r="A205" i="11" s="1"/>
  <c r="A206" i="11" s="1"/>
  <c r="A208" i="11" s="1"/>
  <c r="A209" i="11" s="1"/>
  <c r="A210" i="11" s="1"/>
  <c r="J208" i="11" l="1"/>
  <c r="J209" i="11" l="1"/>
  <c r="A211" i="11"/>
  <c r="J210" i="11" l="1"/>
  <c r="A212" i="11"/>
  <c r="J211" i="11" l="1"/>
  <c r="K162" i="11" s="1"/>
  <c r="A214" i="11"/>
  <c r="A215" i="11" s="1"/>
  <c r="J214" i="11" l="1"/>
  <c r="A216" i="11"/>
  <c r="J215" i="11" l="1"/>
  <c r="A217" i="11"/>
  <c r="J216" i="11" l="1"/>
  <c r="A218" i="11"/>
  <c r="J217" i="11" l="1"/>
  <c r="A219" i="11"/>
  <c r="J218" i="11" l="1"/>
  <c r="A220" i="11"/>
  <c r="A222" i="11" s="1"/>
  <c r="A224" i="11" s="1"/>
  <c r="A225" i="11" s="1"/>
  <c r="A226" i="11" s="1"/>
  <c r="J219" i="11" l="1"/>
  <c r="K213" i="11" s="1"/>
  <c r="A228" i="11"/>
  <c r="A229" i="11" s="1"/>
  <c r="J228" i="11" l="1"/>
  <c r="A230" i="11"/>
  <c r="J229" i="11" l="1"/>
  <c r="A231" i="11"/>
  <c r="J230" i="11" l="1"/>
  <c r="A232" i="11"/>
  <c r="J231" i="11" l="1"/>
  <c r="A233" i="11"/>
  <c r="J232" i="11" l="1"/>
  <c r="A234" i="11"/>
  <c r="J233" i="11" l="1"/>
  <c r="A235" i="11"/>
  <c r="J234" i="11" l="1"/>
  <c r="A236" i="11"/>
  <c r="J235" i="11" l="1"/>
  <c r="A237" i="11"/>
  <c r="A238" i="11" s="1"/>
  <c r="J237" i="11" l="1"/>
  <c r="A239" i="11"/>
  <c r="A240" i="11" s="1"/>
  <c r="J239" i="11" l="1"/>
  <c r="A241" i="11"/>
  <c r="A242" i="11" s="1"/>
  <c r="J241" i="11" l="1"/>
  <c r="A243" i="11"/>
  <c r="A244" i="11" s="1"/>
  <c r="J243" i="11" l="1"/>
  <c r="A245" i="11"/>
  <c r="J244" i="11" l="1"/>
  <c r="A246" i="11"/>
  <c r="J245" i="11" l="1"/>
  <c r="A247" i="11"/>
  <c r="J246" i="11" l="1"/>
  <c r="K227" i="11" s="1"/>
  <c r="A249" i="11"/>
  <c r="A250" i="11" s="1"/>
  <c r="J249" i="11" l="1"/>
  <c r="A251" i="11"/>
  <c r="J250" i="11" l="1"/>
  <c r="A252" i="11"/>
  <c r="J251" i="11" l="1"/>
  <c r="A253" i="11"/>
  <c r="J252" i="11" l="1"/>
  <c r="A254" i="11"/>
  <c r="J253" i="11" l="1"/>
  <c r="A255" i="11"/>
  <c r="J254" i="11" l="1"/>
  <c r="A256" i="11"/>
  <c r="J255" i="11" l="1"/>
  <c r="A257" i="11"/>
  <c r="J256" i="11" l="1"/>
  <c r="A258" i="11"/>
  <c r="J257" i="11" l="1"/>
  <c r="A259" i="11"/>
  <c r="J258" i="11" l="1"/>
  <c r="A260" i="11"/>
  <c r="J259" i="11" l="1"/>
  <c r="A261" i="11"/>
  <c r="J260" i="11" l="1"/>
  <c r="A262" i="11"/>
  <c r="J261" i="11" l="1"/>
  <c r="A263" i="11"/>
  <c r="J262" i="11" l="1"/>
  <c r="A264" i="11"/>
  <c r="J263" i="11" l="1"/>
  <c r="A265" i="11"/>
  <c r="J264" i="11" l="1"/>
  <c r="A266" i="11"/>
  <c r="J265" i="11" l="1"/>
  <c r="A267" i="11"/>
  <c r="J266" i="11" l="1"/>
  <c r="A268" i="11"/>
  <c r="J267" i="11" l="1"/>
  <c r="A269" i="11"/>
  <c r="J268" i="11" l="1"/>
  <c r="A270" i="11"/>
  <c r="J269" i="11" l="1"/>
  <c r="A271" i="11"/>
  <c r="J270" i="11" l="1"/>
  <c r="A272" i="11"/>
  <c r="J271" i="11" l="1"/>
  <c r="A273" i="11"/>
  <c r="J272" i="11" l="1"/>
  <c r="A274" i="11"/>
  <c r="J273" i="11" l="1"/>
  <c r="A275" i="11"/>
  <c r="J274" i="11" l="1"/>
  <c r="A276" i="11"/>
  <c r="J275" i="11" l="1"/>
  <c r="A277" i="11"/>
  <c r="J276" i="11" l="1"/>
  <c r="A278" i="11"/>
  <c r="J277" i="11" l="1"/>
  <c r="A279" i="11"/>
  <c r="J278" i="11" l="1"/>
  <c r="A280" i="11"/>
  <c r="J279" i="11" l="1"/>
  <c r="A281" i="11"/>
  <c r="J280" i="11" l="1"/>
  <c r="A282" i="11"/>
  <c r="J281" i="11" l="1"/>
  <c r="A283" i="11"/>
  <c r="J282" i="11" l="1"/>
  <c r="A284" i="11"/>
  <c r="J283" i="11" l="1"/>
  <c r="A285" i="11"/>
  <c r="J284" i="11" l="1"/>
  <c r="A286" i="11"/>
  <c r="J285" i="11" l="1"/>
  <c r="A287" i="11"/>
  <c r="A288" i="11" s="1"/>
  <c r="J286" i="11"/>
  <c r="E95" i="11"/>
  <c r="J95" i="11" s="1"/>
  <c r="K74" i="11" s="1"/>
  <c r="E64" i="11"/>
  <c r="J64" i="11" s="1"/>
  <c r="E63" i="11"/>
  <c r="J63" i="11" s="1"/>
  <c r="E62" i="11"/>
  <c r="J62" i="11" s="1"/>
  <c r="E59" i="11"/>
  <c r="J59" i="11" s="1"/>
  <c r="E58" i="11"/>
  <c r="J58" i="11" s="1"/>
  <c r="E56" i="11"/>
  <c r="J56" i="11" s="1"/>
  <c r="E55" i="11"/>
  <c r="J55" i="11" s="1"/>
  <c r="E37" i="11"/>
  <c r="J37" i="11" s="1"/>
  <c r="E34" i="11"/>
  <c r="J34" i="11" s="1"/>
  <c r="K33" i="11" s="1"/>
  <c r="E30" i="11"/>
  <c r="J30" i="11" s="1"/>
  <c r="E29" i="11"/>
  <c r="J29" i="11" s="1"/>
  <c r="E28" i="11"/>
  <c r="J28" i="11" s="1"/>
  <c r="E14" i="11"/>
  <c r="J14" i="11" s="1"/>
  <c r="E15" i="11"/>
  <c r="J15" i="11" s="1"/>
  <c r="E16" i="11"/>
  <c r="J16" i="11" s="1"/>
  <c r="E17" i="11"/>
  <c r="J17" i="11" s="1"/>
  <c r="E19" i="11"/>
  <c r="J19" i="11" s="1"/>
  <c r="E20" i="11"/>
  <c r="J20" i="11" s="1"/>
  <c r="E21" i="11"/>
  <c r="J21" i="11" s="1"/>
  <c r="E23" i="11"/>
  <c r="J23" i="11" s="1"/>
  <c r="E24" i="11"/>
  <c r="J24" i="11" s="1"/>
  <c r="E26" i="11"/>
  <c r="J26" i="11" s="1"/>
  <c r="E27" i="11"/>
  <c r="J27" i="11" s="1"/>
  <c r="J293" i="11"/>
  <c r="J330" i="11"/>
  <c r="J297" i="11"/>
  <c r="J320" i="11"/>
  <c r="J299" i="11"/>
  <c r="J298" i="11"/>
  <c r="J306" i="11"/>
  <c r="J317" i="11"/>
  <c r="J307" i="11"/>
  <c r="J321" i="11"/>
  <c r="J332" i="11"/>
  <c r="J331" i="11"/>
  <c r="J322" i="11"/>
  <c r="J316" i="11"/>
  <c r="J290" i="11"/>
  <c r="J323" i="11"/>
  <c r="J315" i="11"/>
  <c r="J301" i="11"/>
  <c r="J289" i="11"/>
  <c r="J292" i="11"/>
  <c r="J300" i="11"/>
  <c r="J314" i="11"/>
  <c r="J308" i="11"/>
  <c r="J312" i="11"/>
  <c r="J326" i="11"/>
  <c r="J309" i="11"/>
  <c r="J288" i="11"/>
  <c r="J305" i="11"/>
  <c r="J319" i="11"/>
  <c r="J302" i="11"/>
  <c r="J318" i="11"/>
  <c r="J304" i="11"/>
  <c r="J325" i="11"/>
  <c r="J296" i="11"/>
  <c r="J303" i="11"/>
  <c r="J328" i="11"/>
  <c r="J291" i="11"/>
  <c r="J329" i="11"/>
  <c r="J324" i="11"/>
  <c r="J327" i="11"/>
  <c r="J313" i="11"/>
  <c r="K248" i="11" l="1"/>
  <c r="K36" i="11"/>
  <c r="K13" i="11"/>
  <c r="A289" i="11"/>
  <c r="A290" i="11" l="1"/>
  <c r="A291" i="11" l="1"/>
  <c r="A292" i="11" s="1"/>
  <c r="A293" i="11" l="1"/>
  <c r="A294" i="11" l="1"/>
  <c r="A296" i="11" l="1"/>
  <c r="A297" i="11" s="1"/>
  <c r="A298" i="11" l="1"/>
  <c r="A299" i="11" s="1"/>
  <c r="A300" i="11" l="1"/>
  <c r="A301" i="11" s="1"/>
  <c r="A302" i="11" l="1"/>
  <c r="A303" i="11" s="1"/>
  <c r="A304" i="11" s="1"/>
  <c r="A305" i="11" s="1"/>
  <c r="A306" i="11" s="1"/>
  <c r="A307" i="11" s="1"/>
  <c r="A308" i="11" s="1"/>
  <c r="A309" i="11" s="1"/>
  <c r="A310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J224" i="11"/>
  <c r="K221" i="11" l="1"/>
  <c r="K355" i="11" s="1"/>
  <c r="K356" i="11" s="1"/>
  <c r="K357" i="11" s="1"/>
  <c r="J355" i="11"/>
  <c r="J356" i="11" l="1"/>
  <c r="J357" i="11" s="1"/>
  <c r="I19" i="13"/>
  <c r="I21" i="13"/>
  <c r="I22" i="13"/>
  <c r="I23" i="13"/>
</calcChain>
</file>

<file path=xl/sharedStrings.xml><?xml version="1.0" encoding="utf-8"?>
<sst xmlns="http://schemas.openxmlformats.org/spreadsheetml/2006/main" count="842" uniqueCount="443">
  <si>
    <t>UNIT</t>
  </si>
  <si>
    <t>DATE</t>
  </si>
  <si>
    <t>DESCRIPTION</t>
  </si>
  <si>
    <t>UNIT COST</t>
  </si>
  <si>
    <t>TRADE COST</t>
  </si>
  <si>
    <t>ITEM #</t>
  </si>
  <si>
    <t xml:space="preserve">PROJECT: </t>
  </si>
  <si>
    <t xml:space="preserve">ADDRESS: </t>
  </si>
  <si>
    <t>QTY.</t>
  </si>
  <si>
    <t>TOTAL</t>
  </si>
  <si>
    <t>625 PARK AVE PHASE 1B</t>
  </si>
  <si>
    <t xml:space="preserve">625 PARK AVENUE </t>
  </si>
  <si>
    <t>NEW YORK, NY 10065</t>
  </si>
  <si>
    <t>Type 1</t>
  </si>
  <si>
    <t>Type 2</t>
  </si>
  <si>
    <t>Type 4</t>
  </si>
  <si>
    <t>Type 5</t>
  </si>
  <si>
    <t>Type 6</t>
  </si>
  <si>
    <t>Type 7</t>
  </si>
  <si>
    <t>Type 8</t>
  </si>
  <si>
    <t>Ceiling</t>
  </si>
  <si>
    <t>sf</t>
  </si>
  <si>
    <t>DETAILS</t>
  </si>
  <si>
    <t xml:space="preserve">Type 1- Interior Partition </t>
  </si>
  <si>
    <t>Type 2- 2HR rated Interior Partition</t>
  </si>
  <si>
    <t xml:space="preserve">TYPE 3 Interior partition at chase </t>
  </si>
  <si>
    <t xml:space="preserve">TYPE 4 Pocket door partition </t>
  </si>
  <si>
    <t>TYPE 5 Existing wall skim coat</t>
  </si>
  <si>
    <t>TYPE 6 EXISTING WALL- Furring</t>
  </si>
  <si>
    <t>2 HR rated 5/8" 2 layered USG fiberock brand panels.</t>
  </si>
  <si>
    <t>3 HR rated 5/8" 3 layered USG fiberock brand panels.</t>
  </si>
  <si>
    <t>3/32" thick gypsum veneer plaster skim coat.</t>
  </si>
  <si>
    <t>Type 1+Type 2+ Type 4+Type 5+Type 6 +Type 7</t>
  </si>
  <si>
    <t>3 5/8" steel studs 20 GA @ 16" O.C.</t>
  </si>
  <si>
    <t>Type 1+Type 2+Type 6+Type 7</t>
  </si>
  <si>
    <t xml:space="preserve">1 5/8" steel studs 20 GA @ 12" O.C. </t>
  </si>
  <si>
    <t>Batt sound Insulation.</t>
  </si>
  <si>
    <t>Type 1+Type 2+ Type 6</t>
  </si>
  <si>
    <t>Batt sound Insulation type SAFB.</t>
  </si>
  <si>
    <t>SCOPE OF WORK</t>
  </si>
  <si>
    <t xml:space="preserve">TYPE 7 Interior Partition- 3 Hr rated </t>
  </si>
  <si>
    <t>Type 3</t>
  </si>
  <si>
    <t>QTY Details</t>
  </si>
  <si>
    <t>N/A</t>
  </si>
  <si>
    <t xml:space="preserve">Type </t>
  </si>
  <si>
    <t>No details given</t>
  </si>
  <si>
    <r>
      <rPr>
        <sz val="12"/>
        <color rgb="FFC00000"/>
        <rFont val="Calibri"/>
        <family val="2"/>
        <scheme val="minor"/>
      </rPr>
      <t>2 layers 5/8' USG fiberock brand panels</t>
    </r>
    <r>
      <rPr>
        <sz val="12"/>
        <color theme="1"/>
        <rFont val="Calibri"/>
        <family val="2"/>
        <scheme val="minor"/>
      </rPr>
      <t xml:space="preserve"> (Fiberock aqua tough brand at all wet areas)</t>
    </r>
    <r>
      <rPr>
        <sz val="12"/>
        <rFont val="Calibri"/>
        <family val="2"/>
        <scheme val="minor"/>
      </rPr>
      <t xml:space="preserve"> Glue second layer, finished with</t>
    </r>
    <r>
      <rPr>
        <sz val="12"/>
        <color rgb="FF92D050"/>
        <rFont val="Calibri"/>
        <family val="2"/>
        <scheme val="minor"/>
      </rPr>
      <t xml:space="preserve"> 3-32" thick gypsum veneer plaster skim coat</t>
    </r>
    <r>
      <rPr>
        <sz val="12"/>
        <rFont val="Calibri"/>
        <family val="2"/>
        <scheme val="minor"/>
      </rPr>
      <t xml:space="preserve">. </t>
    </r>
    <r>
      <rPr>
        <b/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 </t>
    </r>
    <r>
      <rPr>
        <sz val="12"/>
        <color rgb="FF0070C0"/>
        <rFont val="Calibri"/>
        <family val="2"/>
        <scheme val="minor"/>
      </rPr>
      <t>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</si>
  <si>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t xml:space="preserve">2 layers 5/8' USG fiberock brand panels (Fiberock aqua tough brand at all wet areas) Glue second layer, finished with </t>
    </r>
    <r>
      <rPr>
        <sz val="12"/>
        <color rgb="FF92D050"/>
        <rFont val="Calibri"/>
        <family val="2"/>
        <scheme val="minor"/>
      </rPr>
      <t>3-32" thick gypsum veneer plaster skim coat</t>
    </r>
    <r>
      <rPr>
        <sz val="12"/>
        <rFont val="Calibri"/>
        <family val="2"/>
        <scheme val="minor"/>
      </rPr>
      <t xml:space="preserve">. </t>
    </r>
    <r>
      <rPr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</t>
    </r>
    <r>
      <rPr>
        <sz val="12"/>
        <color rgb="FF0070C0"/>
        <rFont val="Calibri"/>
        <family val="2"/>
        <scheme val="minor"/>
      </rPr>
      <t xml:space="preserve"> 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</si>
  <si>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rPr>
        <sz val="12"/>
        <color rgb="FFC00000"/>
        <rFont val="Calibri"/>
        <family val="2"/>
        <scheme val="minor"/>
      </rPr>
      <t xml:space="preserve">2 Layers 5/8" USG fiberock brand panels </t>
    </r>
    <r>
      <rPr>
        <sz val="12"/>
        <color theme="1"/>
        <rFont val="Calibri"/>
        <family val="2"/>
        <scheme val="minor"/>
      </rPr>
      <t>(Fiberock Aqua tough brand at all wet areas)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Glue second layer, Finished with </t>
    </r>
    <r>
      <rPr>
        <sz val="12"/>
        <color rgb="FF92D050"/>
        <rFont val="Calibri"/>
        <family val="2"/>
        <scheme val="minor"/>
      </rPr>
      <t>3/32" thick gypsum veneer plaster skim coat.</t>
    </r>
    <r>
      <rPr>
        <b/>
        <sz val="12"/>
        <rFont val="Calibri"/>
        <family val="2"/>
        <scheme val="minor"/>
      </rPr>
      <t xml:space="preserve"> 1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5/8" 20 Ga stl studs @12 O.C.  </t>
    </r>
    <r>
      <rPr>
        <sz val="12"/>
        <rFont val="Calibri"/>
        <family val="2"/>
        <scheme val="minor"/>
      </rPr>
      <t>2 layer 5/8" USG fiberock brand panels (fiberock aqua tough brand at wet areas) finished with 3/32" thick gypsum veneer plaster skim coat.</t>
    </r>
  </si>
  <si>
    <r>
      <rPr>
        <sz val="12"/>
        <color rgb="FFFFC000"/>
        <rFont val="Calibri"/>
        <family val="2"/>
        <scheme val="minor"/>
      </rPr>
      <t xml:space="preserve">3 5/8" </t>
    </r>
    <r>
      <rPr>
        <b/>
        <sz val="12"/>
        <color rgb="FFFFC000"/>
        <rFont val="Calibri"/>
        <family val="2"/>
        <scheme val="minor"/>
      </rPr>
      <t>20 Ga stl studs @ 16 O.C</t>
    </r>
    <r>
      <rPr>
        <b/>
        <sz val="12"/>
        <rFont val="Calibri"/>
        <family val="2"/>
        <scheme val="minor"/>
      </rPr>
      <t>.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color rgb="FFC00000"/>
        <rFont val="Calibri"/>
        <family val="2"/>
        <scheme val="minor"/>
      </rPr>
      <t>2 layers  5/8" USG fiberock brand panels</t>
    </r>
    <r>
      <rPr>
        <sz val="12"/>
        <rFont val="Calibri"/>
        <family val="2"/>
        <scheme val="minor"/>
      </rPr>
      <t xml:space="preserve"> dimensions from exterior wall to be varified with architect. Fill with</t>
    </r>
    <r>
      <rPr>
        <sz val="12"/>
        <color rgb="FF0070C0"/>
        <rFont val="Calibri"/>
        <family val="2"/>
        <scheme val="minor"/>
      </rPr>
      <t xml:space="preserve"> Batt insulation, </t>
    </r>
    <r>
      <rPr>
        <sz val="12"/>
        <rFont val="Calibri"/>
        <family val="2"/>
        <scheme val="minor"/>
      </rPr>
      <t xml:space="preserve">Finished with </t>
    </r>
    <r>
      <rPr>
        <sz val="12"/>
        <color rgb="FF92D050"/>
        <rFont val="Calibri"/>
        <family val="2"/>
        <scheme val="minor"/>
      </rPr>
      <t>3/32" Thick Gypsum veneer plaster skim coat</t>
    </r>
  </si>
  <si>
    <r>
      <t>Apply</t>
    </r>
    <r>
      <rPr>
        <sz val="12"/>
        <color rgb="FF92D050"/>
        <rFont val="Calibri"/>
        <family val="2"/>
        <scheme val="minor"/>
      </rPr>
      <t xml:space="preserve"> 3/32" Thick gypsum veneer skim coat</t>
    </r>
    <r>
      <rPr>
        <sz val="12"/>
        <rFont val="Calibri"/>
        <family val="2"/>
        <scheme val="minor"/>
      </rPr>
      <t>. Fill and smooth all imperfections</t>
    </r>
  </si>
  <si>
    <t>5/8" 2 layered USG fiberock brand panels.</t>
  </si>
  <si>
    <t>Type 1+Type 4+Type 6+ceiling</t>
  </si>
  <si>
    <t>Type 1+Type 4+Type 6+wet ceiling</t>
  </si>
  <si>
    <t>5/8" 2 layered USG fiberock aqua tough brand panels. (Wet area).</t>
  </si>
  <si>
    <t>2 HR rated 5/8" 2 layered USG fiberock  aqua tough brand panels. (Wet area).</t>
  </si>
  <si>
    <r>
      <t xml:space="preserve">2 layer 5/8" USG fiberock brand panels ( Fiberock aqua tough brand at all wet areas ) Glue second layer fill batt insulation, finished with 3/32" thick gypsum veneer plaster skim coat.  </t>
    </r>
    <r>
      <rPr>
        <b/>
        <sz val="12"/>
        <color rgb="FFFF0000"/>
        <rFont val="Calibri"/>
        <family val="2"/>
        <scheme val="minor"/>
      </rPr>
      <t xml:space="preserve">20 Ga 2-1/2" mtl studs @ 16 O.C. </t>
    </r>
    <r>
      <rPr>
        <sz val="12"/>
        <color rgb="FFFF0000"/>
        <rFont val="Calibri"/>
        <family val="2"/>
        <scheme val="minor"/>
      </rPr>
      <t>with batt insulation. Pipe chase space. 2 layers 5/8" USG fiberock brand panels (Fiberock aqua tough brand at all wet areas finished with 3/32" thick gypsum veneer plaster skim coat.</t>
    </r>
  </si>
  <si>
    <r>
      <t xml:space="preserve">3 layer 5/8" USG fiberock brand panels, glue third layer finished with </t>
    </r>
    <r>
      <rPr>
        <sz val="12"/>
        <color rgb="FF92D050"/>
        <rFont val="Calibri"/>
        <family val="2"/>
        <scheme val="minor"/>
      </rPr>
      <t>3/32" thick gypsum veneer plaster skim coat</t>
    </r>
    <r>
      <rPr>
        <sz val="12"/>
        <rFont val="Calibri"/>
        <family val="2"/>
        <scheme val="minor"/>
      </rPr>
      <t>.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C000"/>
        <rFont val="Calibri"/>
        <family val="2"/>
        <scheme val="minor"/>
      </rPr>
      <t>3 5/8" stl studs 20 GA @16"O.C.</t>
    </r>
    <r>
      <rPr>
        <sz val="12"/>
        <color rgb="FF00B0F0"/>
        <rFont val="Calibri"/>
        <family val="2"/>
        <scheme val="minor"/>
      </rPr>
      <t xml:space="preserve"> </t>
    </r>
    <r>
      <rPr>
        <sz val="12"/>
        <color rgb="FF002060"/>
        <rFont val="Calibri"/>
        <family val="2"/>
        <scheme val="minor"/>
      </rPr>
      <t xml:space="preserve">Batt insulation Type SAFB. </t>
    </r>
    <r>
      <rPr>
        <sz val="12"/>
        <rFont val="Calibri"/>
        <family val="2"/>
        <scheme val="minor"/>
      </rPr>
      <t>3 layer 5/8" USG fiberock brand panels, glue third layer finished with 3-32" thick gypsum veneer plaster skim coat</t>
    </r>
  </si>
  <si>
    <t>Wet Ceiling</t>
  </si>
  <si>
    <t>Height 9'6"</t>
  </si>
  <si>
    <t>For Doors &amp; Cabinets 1'3"</t>
  </si>
  <si>
    <t>Exclusions</t>
  </si>
  <si>
    <t>Mouldings</t>
  </si>
  <si>
    <t>Patch work</t>
  </si>
  <si>
    <t>Fixtures</t>
  </si>
  <si>
    <t>Electrical work</t>
  </si>
  <si>
    <t>Stone and/or tile work</t>
  </si>
  <si>
    <t>SUB TOTAL</t>
  </si>
  <si>
    <t>TOTAL BASE BID</t>
  </si>
  <si>
    <t>WASTE</t>
  </si>
  <si>
    <t>QTY. W/ WASTE</t>
  </si>
  <si>
    <t>625 PARK AVENUE,</t>
  </si>
  <si>
    <t>NEW YORK, NY-10065.</t>
  </si>
  <si>
    <t>INSURANCE (3%)</t>
  </si>
  <si>
    <t>09 26</t>
  </si>
  <si>
    <t>3-5/8" steel studs 20 GA @ 16" O.C.</t>
  </si>
  <si>
    <t xml:space="preserve">1-5/8" steel studs 20 GA @ 12" O.C. </t>
  </si>
  <si>
    <t>09 29</t>
  </si>
  <si>
    <t>Dry</t>
  </si>
  <si>
    <t>Wet</t>
  </si>
  <si>
    <t>Single side areas</t>
  </si>
  <si>
    <t>Wall type 8 [no details on provided on the drawing]</t>
  </si>
  <si>
    <t>2 layered 5/8" thick USG fiberock brand panels for walls and ceilings.</t>
  </si>
  <si>
    <t>2 layerd 5/8" thick USG fiberock aqua tough brand panels for wall and ceilings in wet areas.</t>
  </si>
  <si>
    <t>2 layered 2 HR rated 5/8" thick USG fiberock brand panels for walls.</t>
  </si>
  <si>
    <t>2 layered 2 HR rated 5/8" thick USG fiberock  aqua tough brand panels for walls in wet areas.</t>
  </si>
  <si>
    <t>3 layered 3 HR rated 5/8" thick USG fiberock brand panels for walls.</t>
  </si>
  <si>
    <t>Batt Insulation.</t>
  </si>
  <si>
    <t>Batt Insulation type SAFB.</t>
  </si>
  <si>
    <t>09 22 16</t>
  </si>
  <si>
    <t>10 22 16</t>
  </si>
  <si>
    <t>09 22 26</t>
  </si>
  <si>
    <t>Ceiling suspension system.</t>
  </si>
  <si>
    <t>07 21 16</t>
  </si>
  <si>
    <t>CSI SEC.</t>
  </si>
  <si>
    <t>ITEM COST</t>
  </si>
  <si>
    <t>OVERHEAD AND PROFIT</t>
  </si>
  <si>
    <t>TOTAL UNIT COST</t>
  </si>
  <si>
    <r>
      <t xml:space="preserve">General Exclusions: </t>
    </r>
    <r>
      <rPr>
        <sz val="12"/>
        <rFont val="Calibri"/>
        <family val="2"/>
        <scheme val="minor"/>
      </rPr>
      <t>Any kind of controlled inspection, contaminated material, architect and engineering fees, security, building charges, sign off, asbestos removal, protection of adjoining building (if any), any work not mentioned above.</t>
    </r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</si>
  <si>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reponsible for any kind of variations in the prices. So, it is preferred to review the prices.</t>
    </r>
  </si>
  <si>
    <t xml:space="preserve">DEMOLITION/REMOVALS </t>
  </si>
  <si>
    <t xml:space="preserve">CONCRETE </t>
  </si>
  <si>
    <t>cy</t>
  </si>
  <si>
    <t>OPENINGS</t>
  </si>
  <si>
    <t>DOORS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</si>
  <si>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3'-0"x8'-0"x1-3/4"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G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Wood/Glass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</si>
  <si>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t>ea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</si>
  <si>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</si>
  <si>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</si>
  <si>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B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</si>
  <si>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14'-8"x8'-3"x1-3/4"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K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Aluminium/Wood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Aluminium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</si>
  <si>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6'-8"x7'-9"x1-3/4"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E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Glass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Aluminium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</si>
  <si>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</si>
  <si>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2'-6"x6'-8"x1-3/4"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</si>
  <si>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3'-0"x7'-0"x1-3/8"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</si>
  <si>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8'-0"x7'-4"x2"                 </t>
    </r>
    <r>
      <rPr>
        <b/>
        <sz val="12"/>
        <rFont val="Calibri"/>
        <family val="2"/>
        <scheme val="minor"/>
      </rPr>
      <t xml:space="preserve">          Type:</t>
    </r>
    <r>
      <rPr>
        <sz val="12"/>
        <rFont val="Calibri"/>
        <family val="2"/>
        <scheme val="minor"/>
      </rPr>
      <t xml:space="preserve">L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Aluminium                         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</si>
  <si>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3'-0"x8'-0"x1-3/8"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C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</si>
  <si>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5'-4 3/4"x9'-2 9/32"x1-1/2"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M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/Steel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</si>
  <si>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8'-6"x9'-4 3/4"x1-3/4"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J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</si>
  <si>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17'-1 29/32"x9'-4 3/4"x1-3/4"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K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</si>
  <si>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6'-0"x7'-0"x1-3/4"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T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</si>
  <si>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6'-8"x8'-0"x1-3/4"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</si>
  <si>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3'-0"x8'-0"x1-3/8"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Wood                               </t>
    </r>
    <r>
      <rPr>
        <b/>
        <sz val="12"/>
        <rFont val="Calibri"/>
        <family val="2"/>
        <scheme val="minor"/>
      </rPr>
      <t xml:space="preserve"> Frame:</t>
    </r>
    <r>
      <rPr>
        <sz val="12"/>
        <rFont val="Calibri"/>
        <family val="2"/>
        <scheme val="minor"/>
      </rPr>
      <t>Wooden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</si>
  <si>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2'-10"x8'-0"x1/2"                 </t>
    </r>
    <r>
      <rPr>
        <b/>
        <sz val="12"/>
        <rFont val="Calibri"/>
        <family val="2"/>
        <scheme val="minor"/>
      </rPr>
      <t xml:space="preserve"> Type:</t>
    </r>
    <r>
      <rPr>
        <sz val="12"/>
        <rFont val="Calibri"/>
        <family val="2"/>
        <scheme val="minor"/>
      </rPr>
      <t xml:space="preserve">I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Glass                        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</si>
  <si>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17'-1 29/32"x8'-0"x1-3/4"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K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</si>
  <si>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t xml:space="preserve">WINDOWS </t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</si>
  <si>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5'-0"x3'-0"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Aluminium/Wood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</si>
  <si>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10'-0"x7'-6"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Z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</si>
  <si>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</si>
  <si>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10'-0"x9'-4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B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</si>
  <si>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</si>
  <si>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3'-0"x4'-6"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</si>
  <si>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5'-0"x6'-4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E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</si>
  <si>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4'-0"x9'-4 3/4"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C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</si>
  <si>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4'-0"x4'-0"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AA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</si>
  <si>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2'-6"x1'-6"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BB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</si>
  <si>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3'-5 3/4"x2'-6"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</si>
  <si>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6'-11"x8'-0"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M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</si>
  <si>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6'-6"x2'-0"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A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</si>
  <si>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10'-0"x6'-0"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CC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</si>
  <si>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2'-4"x6'-0"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DD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</si>
  <si>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EE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</si>
  <si>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9'-6"x6'-0"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</si>
  <si>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2'-6"x3'-0"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D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</si>
  <si>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3'-0"x2'-6"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HH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</si>
  <si>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6'-0"x8'-0"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F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</si>
  <si>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3'-10"x8'-0"                        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GG
</t>
    </r>
    <r>
      <rPr>
        <b/>
        <sz val="12"/>
        <rFont val="Calibri"/>
        <family val="2"/>
        <scheme val="minor"/>
      </rPr>
      <t>Glazing:</t>
    </r>
    <r>
      <rPr>
        <sz val="12"/>
        <rFont val="Calibri"/>
        <family val="2"/>
        <scheme val="minor"/>
      </rPr>
      <t xml:space="preserve">Clear               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</si>
  <si>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t xml:space="preserve">FINISHES </t>
  </si>
  <si>
    <t xml:space="preserve">DRY WALLS </t>
  </si>
  <si>
    <t>Wall Type:C</t>
  </si>
  <si>
    <t xml:space="preserve">1 Layer of 5/8" Thick Gypsum Board Each Side </t>
  </si>
  <si>
    <t xml:space="preserve">2x6 Wood Studs @ 16" o.c </t>
  </si>
  <si>
    <t xml:space="preserve">Sealant Top &amp; Bottom </t>
  </si>
  <si>
    <t>lf</t>
  </si>
  <si>
    <t>Wall Type:D</t>
  </si>
  <si>
    <t xml:space="preserve">2x4 Wood Studs @ 16" o.c </t>
  </si>
  <si>
    <t>Wall Type:E</t>
  </si>
  <si>
    <t xml:space="preserve">1 Layer of 5/8" Thick Gypsum Board Finish Side </t>
  </si>
  <si>
    <t xml:space="preserve">R-21 Batt Insulation </t>
  </si>
  <si>
    <t>Wall Type:F</t>
  </si>
  <si>
    <t>Wall Type:G</t>
  </si>
  <si>
    <t xml:space="preserve">1 Layer of 5/8" Thick Gypsum Board Each  Side </t>
  </si>
  <si>
    <t>Wall Type:B</t>
  </si>
  <si>
    <t xml:space="preserve">1 Layer of 5/8" Thick Gypsum Board Interior Side </t>
  </si>
  <si>
    <t xml:space="preserve">FLOORING </t>
  </si>
  <si>
    <t xml:space="preserve">EP-01:Epoxy Flooring </t>
  </si>
  <si>
    <r>
      <rPr>
        <b/>
        <sz val="12"/>
        <rFont val="Calibri"/>
        <family val="2"/>
        <scheme val="minor"/>
      </rPr>
      <t>ST-01:</t>
    </r>
    <r>
      <rPr>
        <sz val="12"/>
        <rFont val="Calibri"/>
        <family val="2"/>
        <scheme val="minor"/>
      </rPr>
      <t xml:space="preserve">Stone Tile Flooring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New Bluestone,24"x24"x0.59" 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Low Honed </t>
    </r>
  </si>
  <si>
    <r>
      <rPr>
        <b/>
        <sz val="12"/>
        <rFont val="Calibri"/>
        <family val="2"/>
        <scheme val="minor"/>
      </rPr>
      <t>WD-11:</t>
    </r>
    <r>
      <rPr>
        <sz val="12"/>
        <rFont val="Calibri"/>
        <family val="2"/>
        <scheme val="minor"/>
      </rPr>
      <t xml:space="preserve">Rift Sawn White Oak Flooring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>Natural</t>
    </r>
  </si>
  <si>
    <t xml:space="preserve">CEILING </t>
  </si>
  <si>
    <t xml:space="preserve">Gypsum Board Ceiling </t>
  </si>
  <si>
    <t xml:space="preserve">Wood Ceiling </t>
  </si>
  <si>
    <t xml:space="preserve">Cementisous Board Soffit </t>
  </si>
  <si>
    <t xml:space="preserve">Cementisous Board Attic Vent Panel </t>
  </si>
  <si>
    <t xml:space="preserve">THERMAL &amp; MOISTURE PROECTION </t>
  </si>
  <si>
    <t xml:space="preserve">ROOFING </t>
  </si>
  <si>
    <t>Standing Seam Metal Roof</t>
  </si>
  <si>
    <t xml:space="preserve">Metal Panels </t>
  </si>
  <si>
    <t xml:space="preserve">Htsam Underlayment </t>
  </si>
  <si>
    <t xml:space="preserve">1/4" Densdeck Prime </t>
  </si>
  <si>
    <t xml:space="preserve">2" Polyiso Rigid Insulation </t>
  </si>
  <si>
    <t xml:space="preserve">24ga.Ssdrip Flashing w/ Removable Counterflashing Painted to Match Roof Color </t>
  </si>
  <si>
    <t>Roof Gutter</t>
  </si>
  <si>
    <t>Downspots</t>
  </si>
  <si>
    <t xml:space="preserve">FAÇADE WORKS </t>
  </si>
  <si>
    <t xml:space="preserve">Cementitious Vertical Board &amp; Batten Siding </t>
  </si>
  <si>
    <t xml:space="preserve">WOOD PLASTICS &amp; COMPOSITES </t>
  </si>
  <si>
    <t xml:space="preserve">3/4" Plywood at Roof </t>
  </si>
  <si>
    <t>3/4" Plywood Sheathing at Exterior Wall</t>
  </si>
  <si>
    <t>METALS</t>
  </si>
  <si>
    <t>W10x22</t>
  </si>
  <si>
    <t>W10x30</t>
  </si>
  <si>
    <t>W10x33</t>
  </si>
  <si>
    <t>W10x39</t>
  </si>
  <si>
    <t>W10x45</t>
  </si>
  <si>
    <t>W12x19</t>
  </si>
  <si>
    <t>W12x26</t>
  </si>
  <si>
    <t>W12x30</t>
  </si>
  <si>
    <t>W12x35</t>
  </si>
  <si>
    <t>W12x45</t>
  </si>
  <si>
    <t>W14x34</t>
  </si>
  <si>
    <t>W14x68</t>
  </si>
  <si>
    <t>W14x82</t>
  </si>
  <si>
    <t>W18x67</t>
  </si>
  <si>
    <t>W18x71</t>
  </si>
  <si>
    <t>W8x21</t>
  </si>
  <si>
    <t>W8x28</t>
  </si>
  <si>
    <t xml:space="preserve">lbs </t>
  </si>
  <si>
    <t xml:space="preserve">11-7/8" TJI 560 @ 16" o.c Floor Joists </t>
  </si>
  <si>
    <t xml:space="preserve">3-1/2"x11-7/8" PSL </t>
  </si>
  <si>
    <t>3-1/2"x14" PSL</t>
  </si>
  <si>
    <t>3-1/2"x9-1/2" PSL</t>
  </si>
  <si>
    <t>5-1/4"x11-7/8" PSL</t>
  </si>
  <si>
    <t>5-1/4"x14" PSL</t>
  </si>
  <si>
    <t>6x12</t>
  </si>
  <si>
    <t>7"x11-7/8" PSL</t>
  </si>
  <si>
    <t>7"x14" PSL</t>
  </si>
  <si>
    <t xml:space="preserve">4x10 </t>
  </si>
  <si>
    <t>4x12</t>
  </si>
  <si>
    <t>4x6</t>
  </si>
  <si>
    <t>4x8</t>
  </si>
  <si>
    <t xml:space="preserve">Removal of Existing 1-Story Single Family House </t>
  </si>
  <si>
    <t xml:space="preserve">Removal of Existing 1-Story Garage </t>
  </si>
  <si>
    <t xml:space="preserve">Removal of Existing Patio Floor </t>
  </si>
  <si>
    <t xml:space="preserve">Removal of Existing Concrete Walkway </t>
  </si>
  <si>
    <t xml:space="preserve">Removal of Existing Sidewalk </t>
  </si>
  <si>
    <t xml:space="preserve">ELECTRICAL </t>
  </si>
  <si>
    <t xml:space="preserve">Duplex Receptacle </t>
  </si>
  <si>
    <t xml:space="preserve">Duplex Receptacle Flush in Floor </t>
  </si>
  <si>
    <t xml:space="preserve">Ground Fault Interrupting Receptacle </t>
  </si>
  <si>
    <t xml:space="preserve">Quadruplex Receptacle </t>
  </si>
  <si>
    <t xml:space="preserve">Combo Phone &amp; Computer Data Outlet </t>
  </si>
  <si>
    <t xml:space="preserve">Computer Data Outlet </t>
  </si>
  <si>
    <t xml:space="preserve">Ceiling Mounted Carbon Dioxide &amp; Smoke Detector </t>
  </si>
  <si>
    <t xml:space="preserve">Ceiling Mounter Light Fixture </t>
  </si>
  <si>
    <t xml:space="preserve">Horsepower Rated Snap Switch </t>
  </si>
  <si>
    <t xml:space="preserve">Single Pole AC Snap Switch </t>
  </si>
  <si>
    <t xml:space="preserve">3-way AC Snap Switch </t>
  </si>
  <si>
    <t xml:space="preserve">Ceiling Mounted Light Fixtures w/ battery Pack </t>
  </si>
  <si>
    <t xml:space="preserve">Junction Box </t>
  </si>
  <si>
    <t xml:space="preserve">Junction Box w/ Flexible Conduint to Equipment </t>
  </si>
  <si>
    <t xml:space="preserve">Special Purpose Light Fixture </t>
  </si>
  <si>
    <t xml:space="preserve">Recessed Linear Light Fixture </t>
  </si>
  <si>
    <t xml:space="preserve">Electrical Wiring 1/2" C.2 #12 AWG CU THWN </t>
  </si>
  <si>
    <t xml:space="preserve">Electrical Wiring 1/2" C.3 #12 AWG CU THWN </t>
  </si>
  <si>
    <t>Electrical Wiring 3/4" C.4 #12 AWG CU THWN</t>
  </si>
  <si>
    <t xml:space="preserve">MECHANICAL </t>
  </si>
  <si>
    <t xml:space="preserve">10"x10"  Duct </t>
  </si>
  <si>
    <t xml:space="preserve">10"x9" Duct </t>
  </si>
  <si>
    <t xml:space="preserve">11"x4" Duct </t>
  </si>
  <si>
    <t xml:space="preserve">12"x10" Duct </t>
  </si>
  <si>
    <t xml:space="preserve">12"x11" Duct </t>
  </si>
  <si>
    <t xml:space="preserve">12"x3" Duct </t>
  </si>
  <si>
    <t xml:space="preserve">12"x4" Duct </t>
  </si>
  <si>
    <t xml:space="preserve">12"x6" Duct </t>
  </si>
  <si>
    <t xml:space="preserve">12"x8" Duct </t>
  </si>
  <si>
    <t xml:space="preserve">13"x12" Duct </t>
  </si>
  <si>
    <t xml:space="preserve">14"x4" Duct </t>
  </si>
  <si>
    <t xml:space="preserve">14"x6" Duct </t>
  </si>
  <si>
    <t xml:space="preserve">14"x7" Duct </t>
  </si>
  <si>
    <t xml:space="preserve">15"x4" Duct </t>
  </si>
  <si>
    <t xml:space="preserve">15"x5" Duct </t>
  </si>
  <si>
    <t xml:space="preserve">16"x8" Duct </t>
  </si>
  <si>
    <t xml:space="preserve">18"x10 Duct </t>
  </si>
  <si>
    <t xml:space="preserve">20"x5" Duct </t>
  </si>
  <si>
    <t xml:space="preserve">24"x9" Duct </t>
  </si>
  <si>
    <t xml:space="preserve">25"x5" Duct </t>
  </si>
  <si>
    <t xml:space="preserve">28"x7" Duct </t>
  </si>
  <si>
    <t xml:space="preserve">30"x8" Duct </t>
  </si>
  <si>
    <t xml:space="preserve">5"x9" Duct </t>
  </si>
  <si>
    <t xml:space="preserve">6"x6" Duct </t>
  </si>
  <si>
    <t xml:space="preserve">7" Dia Duct </t>
  </si>
  <si>
    <t xml:space="preserve">7"x7" Duct </t>
  </si>
  <si>
    <t xml:space="preserve">8"x4" Duct </t>
  </si>
  <si>
    <t>8"x7" Duct</t>
  </si>
  <si>
    <t xml:space="preserve">8"x8" Duct </t>
  </si>
  <si>
    <t xml:space="preserve">9"x5" Duct </t>
  </si>
  <si>
    <t>9"x8" Duct</t>
  </si>
  <si>
    <t xml:space="preserve">9"x9" Duct </t>
  </si>
  <si>
    <t xml:space="preserve">12" Thick  Cantilevered Retaining Wall </t>
  </si>
  <si>
    <t>10" Thick Restrained Basement Wall</t>
  </si>
  <si>
    <t>12" Thick Cantilevered Basement Wall</t>
  </si>
  <si>
    <t xml:space="preserve">GB-1:Grade Beam 24"x18" Size Reinforced w/ 4#4 Bars Top &amp; Bottom </t>
  </si>
  <si>
    <t xml:space="preserve">GB-2:Grade Beam 18"x24" Size Reinforced w/ 4#4 Bars Top &amp; Bottom </t>
  </si>
  <si>
    <t xml:space="preserve">Two Story Foundation-High Grade Reinforced w/ #4 Vertical &amp; Horizontal Bars @ 18" o.c </t>
  </si>
  <si>
    <t xml:space="preserve">MASONARY </t>
  </si>
  <si>
    <t xml:space="preserve">Stone Veneer at Exterior </t>
  </si>
  <si>
    <t>MC18x42.7</t>
  </si>
  <si>
    <t>HSS8x6x3/8"</t>
  </si>
  <si>
    <t>C12x25</t>
  </si>
  <si>
    <t xml:space="preserve">4" Dia XX Strong Pipe Column </t>
  </si>
  <si>
    <t>3" Dia Pipe Column</t>
  </si>
  <si>
    <t xml:space="preserve">8" Thick Concrete Wall w/ Lid </t>
  </si>
  <si>
    <t xml:space="preserve">24" Thick Concrete Footing for Concrete Wall w/ Lid </t>
  </si>
  <si>
    <r>
      <rPr>
        <b/>
        <u/>
        <sz val="12"/>
        <rFont val="Calibri"/>
        <family val="2"/>
        <scheme val="minor"/>
      </rPr>
      <t>18" Thick Restrained Basement Wall Footing</t>
    </r>
    <r>
      <rPr>
        <sz val="12"/>
        <rFont val="Calibri"/>
        <family val="2"/>
        <scheme val="minor"/>
      </rPr>
      <t xml:space="preserve"> Reinforced w/ 4#5 Top &amp; Bottom Bars @ 14" o.c Each Way </t>
    </r>
  </si>
  <si>
    <r>
      <rPr>
        <b/>
        <u/>
        <sz val="12"/>
        <rFont val="Calibri"/>
        <family val="2"/>
        <scheme val="minor"/>
      </rPr>
      <t>25" Thick Concrete Cantilevered Retaining Wall Footing</t>
    </r>
    <r>
      <rPr>
        <sz val="12"/>
        <rFont val="Calibri"/>
        <family val="2"/>
        <scheme val="minor"/>
      </rPr>
      <t xml:space="preserve">  Reinforced w/ 9#5 Long Bars Top &amp; Bottom &amp; #6 Transverse Bars @ 7" o.c Bottom </t>
    </r>
  </si>
  <si>
    <r>
      <rPr>
        <b/>
        <u/>
        <sz val="12"/>
        <rFont val="Calibri"/>
        <family val="2"/>
        <scheme val="minor"/>
      </rPr>
      <t xml:space="preserve">20" Thick Concrete Cantilevered Basement Wall Footing </t>
    </r>
    <r>
      <rPr>
        <sz val="12"/>
        <rFont val="Calibri"/>
        <family val="2"/>
        <scheme val="minor"/>
      </rPr>
      <t xml:space="preserve">Reinforced w/ #5 Long Bars @ 16" o.c Top &amp; Bottom &amp; #6 Transverse Bars @12" o.c Bottom </t>
    </r>
  </si>
  <si>
    <r>
      <rPr>
        <b/>
        <u/>
        <sz val="12"/>
        <rFont val="Calibri"/>
        <family val="2"/>
        <scheme val="minor"/>
      </rPr>
      <t>Typical Three-Story Interior Foundation</t>
    </r>
    <r>
      <rPr>
        <sz val="12"/>
        <rFont val="Calibri"/>
        <family val="2"/>
        <scheme val="minor"/>
      </rPr>
      <t xml:space="preserve"> Reinforced w/ 2#4 Bars Top &amp; Bottom </t>
    </r>
  </si>
  <si>
    <r>
      <rPr>
        <b/>
        <u/>
        <sz val="12"/>
        <rFont val="Calibri"/>
        <family val="2"/>
        <scheme val="minor"/>
      </rPr>
      <t xml:space="preserve">3'-6"x3'-6"x24" Size Column Pad </t>
    </r>
    <r>
      <rPr>
        <sz val="12"/>
        <rFont val="Calibri"/>
        <family val="2"/>
        <scheme val="minor"/>
      </rPr>
      <t xml:space="preserve">Reinforced w/ 6#5 Bars Each Way </t>
    </r>
  </si>
  <si>
    <r>
      <rPr>
        <b/>
        <u/>
        <sz val="12"/>
        <rFont val="Calibri"/>
        <family val="2"/>
        <scheme val="minor"/>
      </rPr>
      <t xml:space="preserve">4'-0"x4'-0"x24" Size Column Pad </t>
    </r>
    <r>
      <rPr>
        <sz val="12"/>
        <rFont val="Calibri"/>
        <family val="2"/>
        <scheme val="minor"/>
      </rPr>
      <t xml:space="preserve">Reinforced w/ 5#6 Bars Each Way </t>
    </r>
  </si>
  <si>
    <r>
      <rPr>
        <b/>
        <u/>
        <sz val="12"/>
        <rFont val="Calibri"/>
        <family val="2"/>
        <scheme val="minor"/>
      </rPr>
      <t>5'-0"x5'-0"x24" Size Column Pad</t>
    </r>
    <r>
      <rPr>
        <sz val="12"/>
        <rFont val="Calibri"/>
        <family val="2"/>
        <scheme val="minor"/>
      </rPr>
      <t xml:space="preserve"> Reinforced w/ 6#6 Bars Each Way </t>
    </r>
  </si>
  <si>
    <r>
      <rPr>
        <b/>
        <sz val="12"/>
        <rFont val="Calibri"/>
        <family val="2"/>
        <scheme val="minor"/>
      </rPr>
      <t>F071:T</t>
    </r>
    <r>
      <rPr>
        <sz val="12"/>
        <rFont val="Calibri"/>
        <family val="2"/>
        <scheme val="minor"/>
      </rPr>
      <t xml:space="preserve">ypical Stair Stringer Reinforced w/ 2#4 Long Bars Top &amp; Bottom </t>
    </r>
  </si>
  <si>
    <r>
      <rPr>
        <b/>
        <u/>
        <sz val="12"/>
        <rFont val="Calibri"/>
        <family val="2"/>
        <scheme val="minor"/>
      </rPr>
      <t xml:space="preserve">5" Thick Slab on Grade </t>
    </r>
    <r>
      <rPr>
        <sz val="12"/>
        <rFont val="Calibri"/>
        <family val="2"/>
        <scheme val="minor"/>
      </rPr>
      <t xml:space="preserve">Reinforced w/ #4 @ 16" o.c Each Way over subgrade over Vapour Barrier </t>
    </r>
  </si>
  <si>
    <t>W10x19</t>
  </si>
  <si>
    <t>W6x16</t>
  </si>
  <si>
    <t xml:space="preserve">HSS4x3x3/8" Column </t>
  </si>
  <si>
    <t xml:space="preserve">14" TJI 560 @ 16" o.c Floor Joists </t>
  </si>
  <si>
    <t>5-1/2" NW Verco W3 Composite Deck 20ga.</t>
  </si>
  <si>
    <t xml:space="preserve">14" TJI 560 Double Joists </t>
  </si>
  <si>
    <t xml:space="preserve">11-7/8" TJI 560 Double  Joists </t>
  </si>
  <si>
    <r>
      <rPr>
        <b/>
        <sz val="12"/>
        <rFont val="Calibri"/>
        <family val="2"/>
        <scheme val="minor"/>
      </rPr>
      <t>ST-08:</t>
    </r>
    <r>
      <rPr>
        <sz val="12"/>
        <rFont val="Calibri"/>
        <family val="2"/>
        <scheme val="minor"/>
      </rPr>
      <t xml:space="preserve">Antique Marble Flooring
</t>
    </r>
    <r>
      <rPr>
        <b/>
        <sz val="12"/>
        <rFont val="Calibri"/>
        <family val="2"/>
        <scheme val="minor"/>
      </rPr>
      <t>Description:</t>
    </r>
    <r>
      <rPr>
        <sz val="12"/>
        <rFont val="Calibri"/>
        <family val="2"/>
        <scheme val="minor"/>
      </rPr>
      <t xml:space="preserve">11"x11"x3/4" -Laid Stacked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White </t>
    </r>
  </si>
  <si>
    <r>
      <rPr>
        <b/>
        <sz val="12"/>
        <rFont val="Calibri"/>
        <family val="2"/>
        <scheme val="minor"/>
      </rPr>
      <t>Size:</t>
    </r>
    <r>
      <rPr>
        <sz val="12"/>
        <rFont val="Calibri"/>
        <family val="2"/>
        <scheme val="minor"/>
      </rPr>
      <t xml:space="preserve">6'-0"x8'-0"x1-3/4"             </t>
    </r>
    <r>
      <rPr>
        <b/>
        <sz val="12"/>
        <rFont val="Calibri"/>
        <family val="2"/>
        <scheme val="minor"/>
      </rPr>
      <t>Type:</t>
    </r>
    <r>
      <rPr>
        <sz val="12"/>
        <rFont val="Calibri"/>
        <family val="2"/>
        <scheme val="minor"/>
      </rPr>
      <t xml:space="preserve">H
</t>
    </r>
    <r>
      <rPr>
        <b/>
        <sz val="12"/>
        <rFont val="Calibri"/>
        <family val="2"/>
        <scheme val="minor"/>
      </rPr>
      <t>Material:</t>
    </r>
    <r>
      <rPr>
        <sz val="12"/>
        <rFont val="Calibri"/>
        <family val="2"/>
        <scheme val="minor"/>
      </rPr>
      <t xml:space="preserve">Steel/Glass                          </t>
    </r>
    <r>
      <rPr>
        <b/>
        <sz val="12"/>
        <rFont val="Calibri"/>
        <family val="2"/>
        <scheme val="minor"/>
      </rPr>
      <t>Frame:</t>
    </r>
    <r>
      <rPr>
        <sz val="12"/>
        <rFont val="Calibri"/>
        <family val="2"/>
        <scheme val="minor"/>
      </rPr>
      <t>Steel</t>
    </r>
  </si>
  <si>
    <t xml:space="preserve">Beams,Headers &amp; Posts </t>
  </si>
  <si>
    <t>(2)-2x12</t>
  </si>
  <si>
    <t xml:space="preserve">4"x4" Wooden Post </t>
  </si>
  <si>
    <t xml:space="preserve">6"x6" Wooden Post </t>
  </si>
  <si>
    <t xml:space="preserve">(2)2"x6" Wooden Post </t>
  </si>
  <si>
    <t xml:space="preserve">4"x6" Wooden Post </t>
  </si>
  <si>
    <t xml:space="preserve">15/32" Structural Plywood Sheathing at Shear Walls </t>
  </si>
  <si>
    <t>Millwork &amp; Counter tops</t>
  </si>
  <si>
    <t xml:space="preserve">Vanity Top </t>
  </si>
  <si>
    <t xml:space="preserve">Kitchen Cabinets </t>
  </si>
  <si>
    <t xml:space="preserve">Kitchen Countertop </t>
  </si>
  <si>
    <t xml:space="preserve">Pantry Countertop </t>
  </si>
  <si>
    <t xml:space="preserve">Closet Rod &amp; Shelving </t>
  </si>
  <si>
    <t xml:space="preserve">Linen Closet </t>
  </si>
  <si>
    <t xml:space="preserve">13"x6" Duct </t>
  </si>
  <si>
    <t xml:space="preserve">14"x12" Duct </t>
  </si>
  <si>
    <t xml:space="preserve">16"x14" Duct </t>
  </si>
  <si>
    <t xml:space="preserve">7"x6" Duct </t>
  </si>
  <si>
    <t xml:space="preserve">9"x4" Duct </t>
  </si>
  <si>
    <t>Exhaust Fans</t>
  </si>
  <si>
    <r>
      <t xml:space="preserve">EF-1
</t>
    </r>
    <r>
      <rPr>
        <b/>
        <sz val="12"/>
        <rFont val="Calibri"/>
        <family val="2"/>
        <scheme val="minor"/>
      </rPr>
      <t>Service:</t>
    </r>
    <r>
      <rPr>
        <sz val="12"/>
        <rFont val="Calibri"/>
        <family val="2"/>
        <scheme val="minor"/>
      </rPr>
      <t xml:space="preserve">Bath 004(Basement)            </t>
    </r>
    <r>
      <rPr>
        <b/>
        <sz val="12"/>
        <rFont val="Calibri"/>
        <family val="2"/>
        <scheme val="minor"/>
      </rPr>
      <t xml:space="preserve">  Location:</t>
    </r>
    <r>
      <rPr>
        <sz val="12"/>
        <rFont val="Calibri"/>
        <family val="2"/>
        <scheme val="minor"/>
      </rPr>
      <t xml:space="preserve">Ceiling
</t>
    </r>
    <r>
      <rPr>
        <b/>
        <sz val="12"/>
        <rFont val="Calibri"/>
        <family val="2"/>
        <scheme val="minor"/>
      </rPr>
      <t>Total CFM:</t>
    </r>
    <r>
      <rPr>
        <sz val="12"/>
        <rFont val="Calibri"/>
        <family val="2"/>
        <scheme val="minor"/>
      </rPr>
      <t>150</t>
    </r>
  </si>
  <si>
    <r>
      <t xml:space="preserve">EF-2
</t>
    </r>
    <r>
      <rPr>
        <b/>
        <sz val="12"/>
        <rFont val="Calibri"/>
        <family val="2"/>
        <scheme val="minor"/>
      </rPr>
      <t>Service:</t>
    </r>
    <r>
      <rPr>
        <sz val="12"/>
        <rFont val="Calibri"/>
        <family val="2"/>
        <scheme val="minor"/>
      </rPr>
      <t xml:space="preserve">Laundry 010(Basement)            </t>
    </r>
    <r>
      <rPr>
        <b/>
        <sz val="12"/>
        <rFont val="Calibri"/>
        <family val="2"/>
        <scheme val="minor"/>
      </rPr>
      <t xml:space="preserve">  Location:</t>
    </r>
    <r>
      <rPr>
        <sz val="12"/>
        <rFont val="Calibri"/>
        <family val="2"/>
        <scheme val="minor"/>
      </rPr>
      <t xml:space="preserve">Ceiling
</t>
    </r>
    <r>
      <rPr>
        <b/>
        <sz val="12"/>
        <rFont val="Calibri"/>
        <family val="2"/>
        <scheme val="minor"/>
      </rPr>
      <t>Total CFM:</t>
    </r>
    <r>
      <rPr>
        <sz val="12"/>
        <rFont val="Calibri"/>
        <family val="2"/>
        <scheme val="minor"/>
      </rPr>
      <t>150</t>
    </r>
  </si>
  <si>
    <r>
      <t xml:space="preserve">EF-3
</t>
    </r>
    <r>
      <rPr>
        <b/>
        <sz val="12"/>
        <rFont val="Calibri"/>
        <family val="2"/>
        <scheme val="minor"/>
      </rPr>
      <t>Service:</t>
    </r>
    <r>
      <rPr>
        <sz val="12"/>
        <rFont val="Calibri"/>
        <family val="2"/>
        <scheme val="minor"/>
      </rPr>
      <t xml:space="preserve">Powder Room 101(First Floor)    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Ceiling
</t>
    </r>
    <r>
      <rPr>
        <b/>
        <sz val="12"/>
        <rFont val="Calibri"/>
        <family val="2"/>
        <scheme val="minor"/>
      </rPr>
      <t>Total CFM:</t>
    </r>
    <r>
      <rPr>
        <sz val="12"/>
        <rFont val="Calibri"/>
        <family val="2"/>
        <scheme val="minor"/>
      </rPr>
      <t>150</t>
    </r>
  </si>
  <si>
    <r>
      <t xml:space="preserve">EF-4
</t>
    </r>
    <r>
      <rPr>
        <b/>
        <sz val="12"/>
        <rFont val="Calibri"/>
        <family val="2"/>
        <scheme val="minor"/>
      </rPr>
      <t>Service:</t>
    </r>
    <r>
      <rPr>
        <sz val="12"/>
        <rFont val="Calibri"/>
        <family val="2"/>
        <scheme val="minor"/>
      </rPr>
      <t xml:space="preserve">Guest Bath 111(First Floor)    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Ceiling
</t>
    </r>
    <r>
      <rPr>
        <b/>
        <sz val="12"/>
        <rFont val="Calibri"/>
        <family val="2"/>
        <scheme val="minor"/>
      </rPr>
      <t>Total CFM:</t>
    </r>
    <r>
      <rPr>
        <sz val="12"/>
        <rFont val="Calibri"/>
        <family val="2"/>
        <scheme val="minor"/>
      </rPr>
      <t>150</t>
    </r>
  </si>
  <si>
    <r>
      <t xml:space="preserve">EF-5
</t>
    </r>
    <r>
      <rPr>
        <b/>
        <sz val="12"/>
        <rFont val="Calibri"/>
        <family val="2"/>
        <scheme val="minor"/>
      </rPr>
      <t>Service:</t>
    </r>
    <r>
      <rPr>
        <sz val="12"/>
        <rFont val="Calibri"/>
        <family val="2"/>
        <scheme val="minor"/>
      </rPr>
      <t xml:space="preserve">Bath 204 (Second Floor)    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Ceiling
</t>
    </r>
    <r>
      <rPr>
        <b/>
        <sz val="12"/>
        <rFont val="Calibri"/>
        <family val="2"/>
        <scheme val="minor"/>
      </rPr>
      <t>Total CFM:</t>
    </r>
    <r>
      <rPr>
        <sz val="12"/>
        <rFont val="Calibri"/>
        <family val="2"/>
        <scheme val="minor"/>
      </rPr>
      <t>150</t>
    </r>
  </si>
  <si>
    <r>
      <t xml:space="preserve">EF-6
</t>
    </r>
    <r>
      <rPr>
        <b/>
        <sz val="12"/>
        <rFont val="Calibri"/>
        <family val="2"/>
        <scheme val="minor"/>
      </rPr>
      <t>Service:</t>
    </r>
    <r>
      <rPr>
        <sz val="12"/>
        <rFont val="Calibri"/>
        <family val="2"/>
        <scheme val="minor"/>
      </rPr>
      <t xml:space="preserve">Bath 207 (Second Floor)    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Ceiling
</t>
    </r>
    <r>
      <rPr>
        <b/>
        <sz val="12"/>
        <rFont val="Calibri"/>
        <family val="2"/>
        <scheme val="minor"/>
      </rPr>
      <t>Total CFM:</t>
    </r>
    <r>
      <rPr>
        <sz val="12"/>
        <rFont val="Calibri"/>
        <family val="2"/>
        <scheme val="minor"/>
      </rPr>
      <t>150</t>
    </r>
  </si>
  <si>
    <r>
      <t xml:space="preserve">EF-7
</t>
    </r>
    <r>
      <rPr>
        <b/>
        <sz val="12"/>
        <rFont val="Calibri"/>
        <family val="2"/>
        <scheme val="minor"/>
      </rPr>
      <t>Service:Toilet &amp; Master Bath</t>
    </r>
    <r>
      <rPr>
        <sz val="12"/>
        <rFont val="Calibri"/>
        <family val="2"/>
        <scheme val="minor"/>
      </rPr>
      <t xml:space="preserve"> (Second Floor)    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Ceiling
</t>
    </r>
    <r>
      <rPr>
        <b/>
        <sz val="12"/>
        <rFont val="Calibri"/>
        <family val="2"/>
        <scheme val="minor"/>
      </rPr>
      <t>Total CFM:</t>
    </r>
    <r>
      <rPr>
        <sz val="12"/>
        <rFont val="Calibri"/>
        <family val="2"/>
        <scheme val="minor"/>
      </rPr>
      <t>400</t>
    </r>
  </si>
  <si>
    <t xml:space="preserve">Split Fan Coil Units </t>
  </si>
  <si>
    <r>
      <rPr>
        <b/>
        <sz val="12"/>
        <rFont val="Calibri"/>
        <family val="2"/>
        <scheme val="minor"/>
      </rPr>
      <t>FC-B-1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Bath 004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400</t>
    </r>
  </si>
  <si>
    <r>
      <rPr>
        <b/>
        <sz val="12"/>
        <rFont val="Calibri"/>
        <family val="2"/>
        <scheme val="minor"/>
      </rPr>
      <t>FC-B-2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Mechnical Room 009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600</t>
    </r>
  </si>
  <si>
    <r>
      <rPr>
        <b/>
        <sz val="12"/>
        <rFont val="Calibri"/>
        <family val="2"/>
        <scheme val="minor"/>
      </rPr>
      <t>FC-B-3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Mechnical Room 009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600</t>
    </r>
  </si>
  <si>
    <r>
      <rPr>
        <b/>
        <sz val="12"/>
        <rFont val="Calibri"/>
        <family val="2"/>
        <scheme val="minor"/>
      </rPr>
      <t>FC-B-4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Equipment Room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290</t>
    </r>
  </si>
  <si>
    <r>
      <rPr>
        <b/>
        <sz val="12"/>
        <rFont val="Calibri"/>
        <family val="2"/>
        <scheme val="minor"/>
      </rPr>
      <t>FC-B-5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Mechnical Room 009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400</t>
    </r>
  </si>
  <si>
    <r>
      <rPr>
        <b/>
        <sz val="12"/>
        <rFont val="Calibri"/>
        <family val="2"/>
        <scheme val="minor"/>
      </rPr>
      <t>FC-1-1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Living Room 104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600</t>
    </r>
  </si>
  <si>
    <r>
      <rPr>
        <b/>
        <sz val="12"/>
        <rFont val="Calibri"/>
        <family val="2"/>
        <scheme val="minor"/>
      </rPr>
      <t>FC-1-2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Family Dining 105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2.5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1000</t>
    </r>
  </si>
  <si>
    <r>
      <rPr>
        <b/>
        <sz val="12"/>
        <rFont val="Calibri"/>
        <family val="2"/>
        <scheme val="minor"/>
      </rPr>
      <t>FC-1-4</t>
    </r>
    <r>
      <rPr>
        <sz val="12"/>
        <rFont val="Calibri"/>
        <family val="2"/>
        <scheme val="minor"/>
      </rPr>
      <t xml:space="preserve">                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600</t>
    </r>
  </si>
  <si>
    <r>
      <rPr>
        <b/>
        <sz val="12"/>
        <rFont val="Calibri"/>
        <family val="2"/>
        <scheme val="minor"/>
      </rPr>
      <t>FC-1-3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Dining 109 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2.5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1000</t>
    </r>
  </si>
  <si>
    <r>
      <rPr>
        <b/>
        <sz val="12"/>
        <rFont val="Calibri"/>
        <family val="2"/>
        <scheme val="minor"/>
      </rPr>
      <t>FC-1-5</t>
    </r>
    <r>
      <rPr>
        <sz val="12"/>
        <rFont val="Calibri"/>
        <family val="2"/>
        <scheme val="minor"/>
      </rPr>
      <t xml:space="preserve">                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400</t>
    </r>
  </si>
  <si>
    <r>
      <rPr>
        <b/>
        <sz val="12"/>
        <rFont val="Calibri"/>
        <family val="2"/>
        <scheme val="minor"/>
      </rPr>
      <t>FC-2-1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Attic Space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450</t>
    </r>
  </si>
  <si>
    <r>
      <rPr>
        <b/>
        <sz val="12"/>
        <rFont val="Calibri"/>
        <family val="2"/>
        <scheme val="minor"/>
      </rPr>
      <t>FC-2-2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Attic Space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450</t>
    </r>
  </si>
  <si>
    <r>
      <rPr>
        <b/>
        <sz val="12"/>
        <rFont val="Calibri"/>
        <family val="2"/>
        <scheme val="minor"/>
      </rPr>
      <t>FC-2-3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Attic Space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450</t>
    </r>
  </si>
  <si>
    <r>
      <rPr>
        <b/>
        <sz val="12"/>
        <rFont val="Calibri"/>
        <family val="2"/>
        <scheme val="minor"/>
      </rPr>
      <t>FC-2-4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Attic Space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2.5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1090</t>
    </r>
  </si>
  <si>
    <r>
      <rPr>
        <b/>
        <sz val="12"/>
        <rFont val="Calibri"/>
        <family val="2"/>
        <scheme val="minor"/>
      </rPr>
      <t>FC-2-5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Location:</t>
    </r>
    <r>
      <rPr>
        <sz val="12"/>
        <rFont val="Calibri"/>
        <family val="2"/>
        <scheme val="minor"/>
      </rPr>
      <t xml:space="preserve">Attic Space                                   </t>
    </r>
    <r>
      <rPr>
        <b/>
        <sz val="12"/>
        <rFont val="Calibri"/>
        <family val="2"/>
        <scheme val="minor"/>
      </rPr>
      <t>Tons:</t>
    </r>
    <r>
      <rPr>
        <sz val="12"/>
        <rFont val="Calibri"/>
        <family val="2"/>
        <scheme val="minor"/>
      </rPr>
      <t xml:space="preserve">1.5
</t>
    </r>
    <r>
      <rPr>
        <b/>
        <sz val="12"/>
        <rFont val="Calibri"/>
        <family val="2"/>
        <scheme val="minor"/>
      </rPr>
      <t>CFM:</t>
    </r>
    <r>
      <rPr>
        <sz val="12"/>
        <rFont val="Calibri"/>
        <family val="2"/>
        <scheme val="minor"/>
      </rPr>
      <t>600</t>
    </r>
  </si>
  <si>
    <t xml:space="preserve">Misc Items </t>
  </si>
  <si>
    <t xml:space="preserve">4x60  Floor Mounter Linear Return Air Bar </t>
  </si>
  <si>
    <t xml:space="preserve">SWR-1 335 CFM </t>
  </si>
  <si>
    <t xml:space="preserve">48x10 Sidewall Grill </t>
  </si>
  <si>
    <t>48x4 SideWall Grill</t>
  </si>
  <si>
    <t>24x4 Titus Model Surface Mount Opposed Blade Damper 300CFM</t>
  </si>
  <si>
    <t xml:space="preserve">36x6 Linear Bar Grill </t>
  </si>
  <si>
    <t xml:space="preserve">Return Grill 300CFM </t>
  </si>
  <si>
    <t xml:space="preserve">Supply Diffuser 300 CFM </t>
  </si>
  <si>
    <t xml:space="preserve">14x7 Exhaust Air Duct </t>
  </si>
  <si>
    <t xml:space="preserve">Supply Diffuser 150CFM </t>
  </si>
  <si>
    <t xml:space="preserve">SWR-1 600CFM </t>
  </si>
  <si>
    <t xml:space="preserve">11x4 Exhuast Air Duct </t>
  </si>
  <si>
    <t xml:space="preserve">18x18 Access Panel for Equipment Service </t>
  </si>
  <si>
    <t xml:space="preserve">Return Grill 175CFM </t>
  </si>
  <si>
    <t xml:space="preserve">Diffuser 150CFM </t>
  </si>
  <si>
    <t xml:space="preserve">Diffuser 100CFM </t>
  </si>
  <si>
    <t xml:space="preserve">Diffuser 245 CFM </t>
  </si>
  <si>
    <t xml:space="preserve">Turning Vanes </t>
  </si>
  <si>
    <t xml:space="preserve">1:4 Reducer </t>
  </si>
  <si>
    <t xml:space="preserve">45 Degree Cross </t>
  </si>
  <si>
    <t xml:space="preserve">Double 45 Degree Wye </t>
  </si>
  <si>
    <t xml:space="preserve">Diffuser 80CFM </t>
  </si>
  <si>
    <t xml:space="preserve">MISCELLANEOUS </t>
  </si>
  <si>
    <t xml:space="preserve">Fire Place </t>
  </si>
  <si>
    <t xml:space="preserve">Shower Enclosure </t>
  </si>
  <si>
    <t xml:space="preserve">Wood Slated Wall </t>
  </si>
  <si>
    <t xml:space="preserve">Floor Drains </t>
  </si>
  <si>
    <t xml:space="preserve">Glass Wall </t>
  </si>
  <si>
    <t xml:space="preserve">Baseboard </t>
  </si>
  <si>
    <t xml:space="preserve">Kitchen Hood </t>
  </si>
  <si>
    <t xml:space="preserve">PAINT </t>
  </si>
  <si>
    <t xml:space="preserve">Paint on Ceiling </t>
  </si>
  <si>
    <t xml:space="preserve">Paint on Walls </t>
  </si>
  <si>
    <t xml:space="preserve">Paint on Doors </t>
  </si>
  <si>
    <t xml:space="preserve">Paint on Trim </t>
  </si>
  <si>
    <t xml:space="preserve">Paint on Railing </t>
  </si>
  <si>
    <t xml:space="preserve">Guard Railing </t>
  </si>
  <si>
    <t xml:space="preserve">Stairs Hardrail </t>
  </si>
  <si>
    <t xml:space="preserve">Concrete Stairs </t>
  </si>
  <si>
    <t xml:space="preserve">1-1/2" Levelling Grout </t>
  </si>
  <si>
    <t xml:space="preserve">Solid Wood Tread Stairs </t>
  </si>
  <si>
    <t>riser</t>
  </si>
  <si>
    <t xml:space="preserve">Wooden Interior Stair Handrail </t>
  </si>
  <si>
    <t xml:space="preserve">Chimney Cap </t>
  </si>
  <si>
    <t>12x1 Steel Plate Bent Stringer</t>
  </si>
  <si>
    <t xml:space="preserve">BasePlate </t>
  </si>
  <si>
    <t xml:space="preserve">HoldDowns </t>
  </si>
  <si>
    <t>PLUMBING</t>
  </si>
  <si>
    <t xml:space="preserve">1" Filtered Water Pipe </t>
  </si>
  <si>
    <t xml:space="preserve">1" Hotwater Pipe </t>
  </si>
  <si>
    <t xml:space="preserve">1-1/2" Filtered Water Pipe </t>
  </si>
  <si>
    <t xml:space="preserve">1-1/2" Hotwater Pipe </t>
  </si>
  <si>
    <t xml:space="preserve">1-1/4" Filtered Water Pipe </t>
  </si>
  <si>
    <t xml:space="preserve">1-1/4" Gas Pipe </t>
  </si>
  <si>
    <t xml:space="preserve">1-1/4" Hotwater Pipe </t>
  </si>
  <si>
    <t xml:space="preserve">2" Hotwater Pipe </t>
  </si>
  <si>
    <t xml:space="preserve">2-1/2" Cold Water Pipe </t>
  </si>
  <si>
    <t xml:space="preserve">2-1/2" Filtered Water Pipe </t>
  </si>
  <si>
    <t xml:space="preserve">2-1/2" Hotwater Pipe </t>
  </si>
  <si>
    <t xml:space="preserve">3/4" Cold Water Pipe </t>
  </si>
  <si>
    <t xml:space="preserve">3/4" Gas Pipe </t>
  </si>
  <si>
    <t xml:space="preserve">Waste Piping </t>
  </si>
  <si>
    <t>Vent Piping</t>
  </si>
  <si>
    <t xml:space="preserve">(2) 1" Conduints Run Down to Inverter </t>
  </si>
  <si>
    <t>Water Closet</t>
  </si>
  <si>
    <t xml:space="preserve">Sink </t>
  </si>
  <si>
    <t xml:space="preserve">Bathtub </t>
  </si>
  <si>
    <t xml:space="preserve">Washer </t>
  </si>
  <si>
    <t>Dryer</t>
  </si>
  <si>
    <t xml:space="preserve">EARTH WORK </t>
  </si>
  <si>
    <t>Excavation</t>
  </si>
  <si>
    <t>Supports of Excavations</t>
  </si>
  <si>
    <t xml:space="preserve">Douglas Fir #2 Lagigng </t>
  </si>
  <si>
    <t xml:space="preserve">W12x45 Soldier Piles </t>
  </si>
  <si>
    <t xml:space="preserve">Concrete Piles </t>
  </si>
  <si>
    <t xml:space="preserve">WALL FINISHES </t>
  </si>
  <si>
    <r>
      <rPr>
        <b/>
        <sz val="12"/>
        <rFont val="Calibri"/>
        <family val="2"/>
        <scheme val="minor"/>
      </rPr>
      <t>T1-04:</t>
    </r>
    <r>
      <rPr>
        <sz val="12"/>
        <rFont val="Calibri"/>
        <family val="2"/>
        <scheme val="minor"/>
      </rPr>
      <t xml:space="preserve">Porcelain Tile Flooring 
</t>
    </r>
    <r>
      <rPr>
        <b/>
        <sz val="12"/>
        <rFont val="Calibri"/>
        <family val="2"/>
        <scheme val="minor"/>
      </rPr>
      <t/>
    </r>
  </si>
  <si>
    <r>
      <rPr>
        <b/>
        <sz val="12"/>
        <rFont val="Calibri"/>
        <family val="2"/>
        <scheme val="minor"/>
      </rPr>
      <t>TI-01:</t>
    </r>
    <r>
      <rPr>
        <sz val="12"/>
        <rFont val="Calibri"/>
        <family val="2"/>
        <scheme val="minor"/>
      </rPr>
      <t>Ceramic Tile 
Description:Bistro 3"x6" Powder Color &amp; Gloss Finish</t>
    </r>
  </si>
  <si>
    <r>
      <rPr>
        <b/>
        <sz val="12"/>
        <rFont val="Calibri"/>
        <family val="2"/>
        <scheme val="minor"/>
      </rPr>
      <t>TI-02:</t>
    </r>
    <r>
      <rPr>
        <sz val="12"/>
        <rFont val="Calibri"/>
        <family val="2"/>
        <scheme val="minor"/>
      </rPr>
      <t xml:space="preserve">Ceramic Tiles
Description:Basics 3"x6" White Color &amp; Glass Finish </t>
    </r>
  </si>
  <si>
    <r>
      <rPr>
        <b/>
        <sz val="12"/>
        <rFont val="Calibri"/>
        <family val="2"/>
        <scheme val="minor"/>
      </rPr>
      <t>TI-03:</t>
    </r>
    <r>
      <rPr>
        <sz val="12"/>
        <rFont val="Calibri"/>
        <family val="2"/>
        <scheme val="minor"/>
      </rPr>
      <t>Ceramic Tiles
Description:Fray,12"x24" Thickness 9mm</t>
    </r>
  </si>
  <si>
    <r>
      <rPr>
        <b/>
        <sz val="12"/>
        <rFont val="Calibri"/>
        <family val="2"/>
        <scheme val="minor"/>
      </rPr>
      <t>WD-15:</t>
    </r>
    <r>
      <rPr>
        <sz val="12"/>
        <rFont val="Calibri"/>
        <family val="2"/>
        <scheme val="minor"/>
      </rPr>
      <t xml:space="preserve">Wall Panels </t>
    </r>
  </si>
  <si>
    <t xml:space="preserve">W10x26 Column </t>
  </si>
  <si>
    <t xml:space="preserve">W8x24 Column </t>
  </si>
  <si>
    <r>
      <rPr>
        <b/>
        <sz val="12"/>
        <rFont val="Calibri"/>
        <family val="2"/>
        <scheme val="minor"/>
      </rPr>
      <t>GL-03:</t>
    </r>
    <r>
      <rPr>
        <sz val="12"/>
        <rFont val="Calibri"/>
        <family val="2"/>
        <scheme val="minor"/>
      </rPr>
      <t>Mirrored Wall</t>
    </r>
  </si>
  <si>
    <t xml:space="preserve">LABOR COST </t>
  </si>
  <si>
    <t xml:space="preserve">MATERIAL COST </t>
  </si>
  <si>
    <t>Residential Sample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</si>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</sst>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_(&quot;$&quot;* #,##0.0_);_(&quot;$&quot;* \(#,##0.0\);_(&quot;$&quot;* &quot;-&quot;??_);_(@_)"/>
    <numFmt numFmtId="169" formatCode="_(* #,##0.00_);_(* \(#,##0.00\);_(* &quot;-&quot;_);_(@_)"/>
  </numFmts>
  <fonts count="4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rial"/>
      <family val="2"/>
    </font>
    <font>
      <b/>
      <u/>
      <sz val="12"/>
      <name val="Calibri"/>
      <family val="2"/>
      <scheme val="minor"/>
    </font>
    <font>
      <b/>
      <sz val="12"/>
      <color theme="0" tint="-0.34998626667073579"/>
      <name val="Verdana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6"/>
      <color theme="1" tint="4.9989318521683403E-2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2" fillId="0" borderId="0"/>
    <xf numFmtId="0" fontId="4" fillId="0" borderId="0"/>
    <xf numFmtId="43" fontId="22" fillId="0" borderId="0" applyFont="0" applyFill="0" applyBorder="0" applyAlignment="0" applyProtection="0"/>
    <xf numFmtId="0" fontId="23" fillId="0" borderId="0"/>
    <xf numFmtId="43" fontId="4" fillId="0" borderId="0" applyFont="0" applyFill="0" applyBorder="0" applyAlignment="0" applyProtection="0"/>
    <xf numFmtId="0" fontId="4" fillId="0" borderId="0"/>
    <xf numFmtId="44" fontId="2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4" fontId="42" fillId="0" borderId="0" applyFont="0" applyFill="0" applyBorder="0" applyAlignment="0" applyProtection="0"/>
  </cellStyleXfs>
  <cellXfs count="179">
    <xf numFmtId="0" fontId="0" fillId="0" borderId="0" xfId="0"/>
    <xf numFmtId="2" fontId="3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 wrapText="1"/>
    </xf>
    <xf numFmtId="165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vertical="center"/>
    </xf>
    <xf numFmtId="0" fontId="24" fillId="25" borderId="10" xfId="0" applyFont="1" applyFill="1" applyBorder="1" applyAlignment="1">
      <alignment vertical="center" wrapText="1"/>
    </xf>
    <xf numFmtId="0" fontId="24" fillId="25" borderId="10" xfId="0" applyFont="1" applyFill="1" applyBorder="1" applyAlignment="1">
      <alignment horizontal="center" vertical="center"/>
    </xf>
    <xf numFmtId="165" fontId="24" fillId="25" borderId="10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42" fontId="24" fillId="0" borderId="0" xfId="0" applyNumberFormat="1" applyFont="1" applyAlignment="1">
      <alignment horizontal="left" vertical="center"/>
    </xf>
    <xf numFmtId="166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165" fontId="24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7" fillId="24" borderId="13" xfId="0" applyFont="1" applyFill="1" applyBorder="1" applyAlignment="1">
      <alignment horizontal="center" vertical="top" wrapText="1"/>
    </xf>
    <xf numFmtId="2" fontId="27" fillId="24" borderId="14" xfId="0" applyNumberFormat="1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top"/>
    </xf>
    <xf numFmtId="41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5" fillId="25" borderId="16" xfId="0" quotePrefix="1" applyFont="1" applyFill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42" fontId="25" fillId="0" borderId="12" xfId="0" applyNumberFormat="1" applyFont="1" applyBorder="1" applyAlignment="1">
      <alignment vertical="center"/>
    </xf>
    <xf numFmtId="166" fontId="29" fillId="0" borderId="0" xfId="0" applyNumberFormat="1" applyFont="1" applyAlignment="1">
      <alignment horizontal="left" vertical="center"/>
    </xf>
    <xf numFmtId="0" fontId="30" fillId="25" borderId="10" xfId="0" applyFont="1" applyFill="1" applyBorder="1" applyAlignment="1">
      <alignment vertical="center" wrapText="1"/>
    </xf>
    <xf numFmtId="41" fontId="31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2" fontId="40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left" vertical="top"/>
    </xf>
    <xf numFmtId="0" fontId="24" fillId="0" borderId="21" xfId="0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5" fillId="25" borderId="24" xfId="0" quotePrefix="1" applyFont="1" applyFill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165" fontId="24" fillId="0" borderId="0" xfId="0" applyNumberFormat="1" applyFont="1" applyAlignment="1">
      <alignment vertical="top"/>
    </xf>
    <xf numFmtId="2" fontId="24" fillId="0" borderId="0" xfId="0" applyNumberFormat="1" applyFont="1" applyAlignment="1">
      <alignment vertical="top" wrapText="1"/>
    </xf>
    <xf numFmtId="2" fontId="24" fillId="0" borderId="0" xfId="0" applyNumberFormat="1" applyFont="1" applyAlignment="1">
      <alignment horizontal="center" vertical="top" wrapText="1"/>
    </xf>
    <xf numFmtId="165" fontId="25" fillId="0" borderId="0" xfId="0" applyNumberFormat="1" applyFont="1" applyAlignment="1">
      <alignment horizontal="center" vertical="top"/>
    </xf>
    <xf numFmtId="164" fontId="25" fillId="0" borderId="0" xfId="0" applyNumberFormat="1" applyFont="1" applyAlignment="1">
      <alignment horizontal="center" vertical="top"/>
    </xf>
    <xf numFmtId="2" fontId="27" fillId="24" borderId="14" xfId="0" applyNumberFormat="1" applyFont="1" applyFill="1" applyBorder="1" applyAlignment="1">
      <alignment horizontal="center" vertical="top" wrapText="1"/>
    </xf>
    <xf numFmtId="0" fontId="27" fillId="24" borderId="14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0" fillId="25" borderId="25" xfId="0" applyFont="1" applyFill="1" applyBorder="1" applyAlignment="1">
      <alignment vertical="top" wrapText="1"/>
    </xf>
    <xf numFmtId="0" fontId="24" fillId="25" borderId="25" xfId="0" applyFont="1" applyFill="1" applyBorder="1" applyAlignment="1">
      <alignment horizontal="center" vertical="top" wrapText="1"/>
    </xf>
    <xf numFmtId="0" fontId="24" fillId="25" borderId="25" xfId="0" applyFont="1" applyFill="1" applyBorder="1" applyAlignment="1">
      <alignment horizontal="center" vertical="top"/>
    </xf>
    <xf numFmtId="0" fontId="24" fillId="25" borderId="25" xfId="0" applyFont="1" applyFill="1" applyBorder="1" applyAlignment="1">
      <alignment vertical="top" wrapText="1"/>
    </xf>
    <xf numFmtId="165" fontId="24" fillId="25" borderId="26" xfId="0" applyNumberFormat="1" applyFont="1" applyFill="1" applyBorder="1" applyAlignment="1">
      <alignment vertical="top"/>
    </xf>
    <xf numFmtId="0" fontId="24" fillId="0" borderId="19" xfId="0" applyFont="1" applyBorder="1" applyAlignment="1">
      <alignment vertical="top"/>
    </xf>
    <xf numFmtId="0" fontId="31" fillId="0" borderId="28" xfId="0" applyFont="1" applyBorder="1" applyAlignment="1">
      <alignment horizontal="justify" vertical="top" wrapText="1"/>
    </xf>
    <xf numFmtId="41" fontId="31" fillId="0" borderId="28" xfId="0" applyNumberFormat="1" applyFont="1" applyBorder="1" applyAlignment="1">
      <alignment horizontal="right" vertical="top"/>
    </xf>
    <xf numFmtId="9" fontId="31" fillId="0" borderId="28" xfId="0" applyNumberFormat="1" applyFont="1" applyBorder="1" applyAlignment="1">
      <alignment horizontal="right" vertical="top"/>
    </xf>
    <xf numFmtId="0" fontId="24" fillId="0" borderId="28" xfId="0" applyFont="1" applyBorder="1" applyAlignment="1">
      <alignment horizontal="center" vertical="top"/>
    </xf>
    <xf numFmtId="166" fontId="24" fillId="0" borderId="28" xfId="0" applyNumberFormat="1" applyFont="1" applyBorder="1" applyAlignment="1">
      <alignment horizontal="left" vertical="top"/>
    </xf>
    <xf numFmtId="42" fontId="24" fillId="0" borderId="29" xfId="0" applyNumberFormat="1" applyFont="1" applyBorder="1" applyAlignment="1">
      <alignment horizontal="left" vertical="top"/>
    </xf>
    <xf numFmtId="0" fontId="24" fillId="0" borderId="0" xfId="0" applyFont="1" applyAlignment="1">
      <alignment horizontal="justify" vertical="top" wrapText="1"/>
    </xf>
    <xf numFmtId="41" fontId="31" fillId="0" borderId="0" xfId="0" applyNumberFormat="1" applyFont="1" applyAlignment="1">
      <alignment horizontal="right" vertical="top"/>
    </xf>
    <xf numFmtId="9" fontId="31" fillId="0" borderId="0" xfId="0" applyNumberFormat="1" applyFont="1" applyAlignment="1">
      <alignment horizontal="right" vertical="top"/>
    </xf>
    <xf numFmtId="166" fontId="24" fillId="0" borderId="0" xfId="0" applyNumberFormat="1" applyFont="1" applyAlignment="1">
      <alignment horizontal="left" vertical="top"/>
    </xf>
    <xf numFmtId="42" fontId="24" fillId="0" borderId="20" xfId="0" applyNumberFormat="1" applyFont="1" applyBorder="1" applyAlignment="1">
      <alignment horizontal="left" vertical="top"/>
    </xf>
    <xf numFmtId="0" fontId="24" fillId="0" borderId="0" xfId="0" quotePrefix="1" applyFont="1" applyAlignment="1">
      <alignment horizontal="justify" vertical="top" wrapText="1"/>
    </xf>
    <xf numFmtId="0" fontId="31" fillId="0" borderId="0" xfId="0" applyFont="1" applyAlignment="1">
      <alignment horizontal="left" vertical="top"/>
    </xf>
    <xf numFmtId="0" fontId="28" fillId="0" borderId="19" xfId="0" applyFont="1" applyBorder="1" applyAlignment="1">
      <alignment vertical="top"/>
    </xf>
    <xf numFmtId="0" fontId="28" fillId="0" borderId="0" xfId="0" applyFont="1" applyAlignment="1">
      <alignment vertical="top"/>
    </xf>
    <xf numFmtId="41" fontId="24" fillId="0" borderId="0" xfId="0" applyNumberFormat="1" applyFont="1" applyAlignment="1">
      <alignment horizontal="right" vertical="top"/>
    </xf>
    <xf numFmtId="0" fontId="31" fillId="0" borderId="0" xfId="0" applyFont="1" applyAlignment="1">
      <alignment horizontal="justify" vertical="top" wrapText="1"/>
    </xf>
    <xf numFmtId="0" fontId="31" fillId="0" borderId="22" xfId="0" applyFont="1" applyBorder="1" applyAlignment="1">
      <alignment horizontal="justify" vertical="top" wrapText="1"/>
    </xf>
    <xf numFmtId="41" fontId="24" fillId="0" borderId="22" xfId="0" applyNumberFormat="1" applyFont="1" applyBorder="1" applyAlignment="1">
      <alignment horizontal="right" vertical="top"/>
    </xf>
    <xf numFmtId="9" fontId="24" fillId="0" borderId="22" xfId="0" applyNumberFormat="1" applyFont="1" applyBorder="1" applyAlignment="1">
      <alignment horizontal="right" vertical="top"/>
    </xf>
    <xf numFmtId="41" fontId="31" fillId="0" borderId="22" xfId="0" applyNumberFormat="1" applyFont="1" applyBorder="1" applyAlignment="1">
      <alignment horizontal="right" vertical="top"/>
    </xf>
    <xf numFmtId="0" fontId="24" fillId="0" borderId="22" xfId="0" applyFont="1" applyBorder="1" applyAlignment="1">
      <alignment horizontal="center" vertical="top"/>
    </xf>
    <xf numFmtId="166" fontId="24" fillId="0" borderId="22" xfId="0" applyNumberFormat="1" applyFont="1" applyBorder="1" applyAlignment="1">
      <alignment horizontal="left" vertical="top"/>
    </xf>
    <xf numFmtId="42" fontId="24" fillId="0" borderId="23" xfId="0" applyNumberFormat="1" applyFont="1" applyBorder="1" applyAlignment="1">
      <alignment horizontal="left" vertical="top"/>
    </xf>
    <xf numFmtId="42" fontId="24" fillId="0" borderId="0" xfId="0" applyNumberFormat="1" applyFont="1" applyAlignment="1">
      <alignment horizontal="left" vertical="top"/>
    </xf>
    <xf numFmtId="0" fontId="24" fillId="0" borderId="12" xfId="0" applyFont="1" applyBorder="1" applyAlignment="1">
      <alignment vertical="top"/>
    </xf>
    <xf numFmtId="165" fontId="24" fillId="0" borderId="12" xfId="0" applyNumberFormat="1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24" fillId="0" borderId="12" xfId="0" applyFont="1" applyBorder="1" applyAlignment="1">
      <alignment horizontal="right" vertical="top" wrapText="1"/>
    </xf>
    <xf numFmtId="42" fontId="25" fillId="0" borderId="18" xfId="0" applyNumberFormat="1" applyFont="1" applyBorder="1" applyAlignment="1">
      <alignment vertical="top"/>
    </xf>
    <xf numFmtId="167" fontId="25" fillId="0" borderId="18" xfId="0" applyNumberFormat="1" applyFont="1" applyBorder="1" applyAlignment="1">
      <alignment vertical="top"/>
    </xf>
    <xf numFmtId="165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right" vertical="top" wrapText="1"/>
    </xf>
    <xf numFmtId="42" fontId="25" fillId="0" borderId="0" xfId="0" applyNumberFormat="1" applyFont="1" applyAlignment="1">
      <alignment vertical="top"/>
    </xf>
    <xf numFmtId="2" fontId="25" fillId="0" borderId="0" xfId="0" applyNumberFormat="1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7" fillId="24" borderId="30" xfId="0" applyFont="1" applyFill="1" applyBorder="1" applyAlignment="1">
      <alignment horizontal="center" vertical="top" wrapText="1"/>
    </xf>
    <xf numFmtId="0" fontId="25" fillId="25" borderId="25" xfId="0" quotePrefix="1" applyFont="1" applyFill="1" applyBorder="1" applyAlignment="1">
      <alignment horizontal="center" vertical="top"/>
    </xf>
    <xf numFmtId="0" fontId="25" fillId="0" borderId="12" xfId="0" applyFont="1" applyBorder="1" applyAlignment="1">
      <alignment horizontal="left" vertical="top"/>
    </xf>
    <xf numFmtId="9" fontId="24" fillId="0" borderId="0" xfId="0" applyNumberFormat="1" applyFont="1" applyAlignment="1">
      <alignment horizontal="right"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0" fontId="15" fillId="7" borderId="32" xfId="34" applyNumberFormat="1" applyBorder="1" applyAlignment="1">
      <alignment vertical="top"/>
    </xf>
    <xf numFmtId="0" fontId="25" fillId="25" borderId="0" xfId="0" applyFont="1" applyFill="1" applyAlignment="1">
      <alignment vertical="top"/>
    </xf>
    <xf numFmtId="167" fontId="24" fillId="0" borderId="0" xfId="0" applyNumberFormat="1" applyFont="1" applyAlignment="1">
      <alignment vertical="top"/>
    </xf>
    <xf numFmtId="168" fontId="24" fillId="0" borderId="0" xfId="0" applyNumberFormat="1" applyFont="1" applyAlignment="1">
      <alignment vertical="top"/>
    </xf>
    <xf numFmtId="42" fontId="25" fillId="0" borderId="20" xfId="0" applyNumberFormat="1" applyFont="1" applyBorder="1" applyAlignment="1">
      <alignment horizontal="left" vertical="top"/>
    </xf>
    <xf numFmtId="2" fontId="24" fillId="0" borderId="22" xfId="0" applyNumberFormat="1" applyFont="1" applyBorder="1" applyAlignment="1">
      <alignment vertical="top" wrapText="1"/>
    </xf>
    <xf numFmtId="2" fontId="24" fillId="0" borderId="22" xfId="0" applyNumberFormat="1" applyFont="1" applyBorder="1" applyAlignment="1">
      <alignment horizontal="center" vertical="top" wrapText="1"/>
    </xf>
    <xf numFmtId="165" fontId="24" fillId="0" borderId="23" xfId="0" applyNumberFormat="1" applyFont="1" applyBorder="1" applyAlignment="1">
      <alignment vertical="top"/>
    </xf>
    <xf numFmtId="44" fontId="24" fillId="0" borderId="0" xfId="54" applyFont="1" applyFill="1" applyBorder="1" applyAlignment="1">
      <alignment horizontal="left" vertical="top" wrapText="1"/>
    </xf>
    <xf numFmtId="165" fontId="24" fillId="0" borderId="20" xfId="0" applyNumberFormat="1" applyFont="1" applyBorder="1" applyAlignment="1">
      <alignment vertical="top"/>
    </xf>
    <xf numFmtId="0" fontId="25" fillId="0" borderId="0" xfId="0" applyFont="1" applyAlignment="1">
      <alignment horizontal="left" vertical="top" wrapText="1"/>
    </xf>
    <xf numFmtId="169" fontId="24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center" vertical="top" wrapText="1"/>
    </xf>
    <xf numFmtId="0" fontId="25" fillId="0" borderId="22" xfId="0" applyFont="1" applyBorder="1" applyAlignment="1">
      <alignment horizontal="left" vertical="top" wrapText="1"/>
    </xf>
    <xf numFmtId="14" fontId="24" fillId="0" borderId="0" xfId="0" applyNumberFormat="1" applyFont="1" applyAlignment="1">
      <alignment horizontal="left" vertical="top" wrapText="1"/>
    </xf>
    <xf numFmtId="44" fontId="24" fillId="0" borderId="0" xfId="0" applyNumberFormat="1" applyFont="1" applyAlignment="1">
      <alignment horizontal="center" vertical="top"/>
    </xf>
    <xf numFmtId="166" fontId="24" fillId="0" borderId="0" xfId="0" applyNumberFormat="1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2" fontId="24" fillId="0" borderId="20" xfId="0" applyNumberFormat="1" applyFont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20" xfId="0" applyNumberFormat="1" applyFont="1" applyBorder="1" applyAlignment="1">
      <alignment vertical="top"/>
    </xf>
    <xf numFmtId="165" fontId="25" fillId="26" borderId="34" xfId="0" applyNumberFormat="1" applyFont="1" applyFill="1" applyBorder="1" applyAlignment="1">
      <alignment horizontal="center" vertical="top"/>
    </xf>
    <xf numFmtId="0" fontId="25" fillId="26" borderId="31" xfId="0" applyFont="1" applyFill="1" applyBorder="1" applyAlignment="1">
      <alignment vertical="top"/>
    </xf>
    <xf numFmtId="165" fontId="25" fillId="26" borderId="31" xfId="0" applyNumberFormat="1" applyFont="1" applyFill="1" applyBorder="1" applyAlignment="1">
      <alignment horizontal="center" vertical="top"/>
    </xf>
    <xf numFmtId="0" fontId="25" fillId="26" borderId="31" xfId="0" applyFont="1" applyFill="1" applyBorder="1" applyAlignment="1">
      <alignment horizontal="center" vertical="top"/>
    </xf>
    <xf numFmtId="42" fontId="25" fillId="26" borderId="35" xfId="0" applyNumberFormat="1" applyFont="1" applyFill="1" applyBorder="1" applyAlignment="1">
      <alignment vertical="top"/>
    </xf>
    <xf numFmtId="0" fontId="25" fillId="26" borderId="0" xfId="0" applyFont="1" applyFill="1" applyAlignment="1">
      <alignment vertical="top"/>
    </xf>
    <xf numFmtId="0" fontId="25" fillId="26" borderId="36" xfId="0" applyFont="1" applyFill="1" applyBorder="1" applyAlignment="1">
      <alignment horizontal="left" vertical="top"/>
    </xf>
    <xf numFmtId="0" fontId="24" fillId="26" borderId="12" xfId="0" applyFont="1" applyFill="1" applyBorder="1" applyAlignment="1">
      <alignment vertical="top"/>
    </xf>
    <xf numFmtId="165" fontId="24" fillId="26" borderId="12" xfId="0" applyNumberFormat="1" applyFont="1" applyFill="1" applyBorder="1" applyAlignment="1">
      <alignment horizontal="center" vertical="top"/>
    </xf>
    <xf numFmtId="0" fontId="24" fillId="26" borderId="12" xfId="0" applyFont="1" applyFill="1" applyBorder="1" applyAlignment="1">
      <alignment horizontal="center" vertical="top"/>
    </xf>
    <xf numFmtId="42" fontId="25" fillId="26" borderId="33" xfId="0" applyNumberFormat="1" applyFont="1" applyFill="1" applyBorder="1" applyAlignment="1">
      <alignment vertical="top"/>
    </xf>
    <xf numFmtId="9" fontId="24" fillId="26" borderId="12" xfId="0" applyNumberFormat="1" applyFont="1" applyFill="1" applyBorder="1" applyAlignment="1">
      <alignment vertical="top"/>
    </xf>
    <xf numFmtId="42" fontId="25" fillId="26" borderId="37" xfId="0" applyNumberFormat="1" applyFont="1" applyFill="1" applyBorder="1" applyAlignment="1">
      <alignment vertical="top"/>
    </xf>
    <xf numFmtId="0" fontId="25" fillId="26" borderId="38" xfId="0" applyFont="1" applyFill="1" applyBorder="1" applyAlignment="1">
      <alignment horizontal="left" vertical="top"/>
    </xf>
    <xf numFmtId="0" fontId="24" fillId="26" borderId="39" xfId="0" applyFont="1" applyFill="1" applyBorder="1" applyAlignment="1">
      <alignment vertical="top"/>
    </xf>
    <xf numFmtId="165" fontId="24" fillId="26" borderId="39" xfId="0" applyNumberFormat="1" applyFont="1" applyFill="1" applyBorder="1" applyAlignment="1">
      <alignment horizontal="center" vertical="top"/>
    </xf>
    <xf numFmtId="0" fontId="24" fillId="26" borderId="39" xfId="0" applyFont="1" applyFill="1" applyBorder="1" applyAlignment="1">
      <alignment horizontal="center" vertical="top"/>
    </xf>
    <xf numFmtId="42" fontId="25" fillId="26" borderId="40" xfId="0" applyNumberFormat="1" applyFont="1" applyFill="1" applyBorder="1" applyAlignment="1">
      <alignment vertical="top"/>
    </xf>
    <xf numFmtId="42" fontId="25" fillId="26" borderId="23" xfId="0" applyNumberFormat="1" applyFont="1" applyFill="1" applyBorder="1" applyAlignment="1">
      <alignment vertical="top"/>
    </xf>
    <xf numFmtId="0" fontId="25" fillId="27" borderId="19" xfId="0" applyFont="1" applyFill="1" applyBorder="1" applyAlignment="1">
      <alignment horizontal="left" vertical="top" wrapText="1"/>
    </xf>
    <xf numFmtId="0" fontId="46" fillId="27" borderId="13" xfId="0" applyFont="1" applyFill="1" applyBorder="1" applyAlignment="1">
      <alignment horizontal="center" vertical="center" wrapText="1"/>
    </xf>
    <xf numFmtId="2" fontId="46" fillId="27" borderId="14" xfId="0" applyNumberFormat="1" applyFont="1" applyFill="1" applyBorder="1" applyAlignment="1">
      <alignment horizontal="center" vertical="center" wrapText="1"/>
    </xf>
    <xf numFmtId="0" fontId="46" fillId="27" borderId="14" xfId="0" applyFont="1" applyFill="1" applyBorder="1" applyAlignment="1">
      <alignment horizontal="center" vertical="center" wrapText="1"/>
    </xf>
    <xf numFmtId="44" fontId="46" fillId="27" borderId="14" xfId="0" applyNumberFormat="1" applyFont="1" applyFill="1" applyBorder="1" applyAlignment="1">
      <alignment horizontal="center" vertical="center" wrapText="1"/>
    </xf>
    <xf numFmtId="0" fontId="46" fillId="27" borderId="15" xfId="0" applyFont="1" applyFill="1" applyBorder="1" applyAlignment="1">
      <alignment horizontal="center" vertical="center" wrapText="1"/>
    </xf>
    <xf numFmtId="2" fontId="47" fillId="0" borderId="0" xfId="0" applyNumberFormat="1" applyFont="1" applyAlignment="1">
      <alignment horizontal="center" vertical="center" wrapText="1"/>
    </xf>
    <xf numFmtId="0" fontId="25" fillId="0" borderId="17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2" fontId="44" fillId="0" borderId="0" xfId="0" applyNumberFormat="1" applyFont="1" applyAlignment="1">
      <alignment horizontal="left" vertical="top"/>
    </xf>
    <xf numFmtId="2" fontId="44" fillId="0" borderId="22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top"/>
    </xf>
    <xf numFmtId="0" fontId="24" fillId="0" borderId="19" xfId="0" applyFont="1" applyBorder="1" applyAlignment="1">
      <alignment horizontal="center" vertical="top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" xfId="54" builtinId="4"/>
    <cellStyle name="Currency 2" xfId="50" xr:uid="{00000000-0005-0000-0000-00001E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9000000}"/>
    <cellStyle name="Normal 2 2" xfId="47" xr:uid="{00000000-0005-0000-0000-00002A000000}"/>
    <cellStyle name="Normal 2 3" xfId="45" xr:uid="{00000000-0005-0000-0000-00002B000000}"/>
    <cellStyle name="Normal 2 3 2" xfId="52" xr:uid="{00000000-0005-0000-0000-00002C000000}"/>
    <cellStyle name="Normal 3" xfId="37" xr:uid="{00000000-0005-0000-0000-00002D000000}"/>
    <cellStyle name="Normal 4" xfId="43" xr:uid="{00000000-0005-0000-0000-00002E000000}"/>
    <cellStyle name="Normal 4 2" xfId="53" xr:uid="{00000000-0005-0000-0000-00002F000000}"/>
    <cellStyle name="Normal 4 3" xfId="51" xr:uid="{00000000-0005-0000-0000-000030000000}"/>
    <cellStyle name="Normal 5" xfId="49" xr:uid="{00000000-0005-0000-0000-000031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302558</xdr:colOff>
      <xdr:row>0</xdr:row>
      <xdr:rowOff>89646</xdr:rowOff>
    </xdr:from>
    <xdr:to>
      <xdr:col>1</xdr:col>
      <xdr:colOff>3238499</xdr:colOff>
      <xdr:row>3</xdr:row>
      <xdr:rowOff>190499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9E586E-C44C-70C8-4EDD-3C2B551F2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34" y="89646"/>
          <a:ext cx="2935941" cy="705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2"/>
  <sheetViews>
    <sheetView tabSelected="1" view="pageBreakPreview" zoomScale="85" zoomScaleNormal="85" zoomScaleSheetLayoutView="85" workbookViewId="0">
      <pane ySplit="6" topLeftCell="A7" activePane="bottomLeft" state="frozen"/>
      <selection pane="bottomLeft" activeCell="B8" sqref="B8"/>
    </sheetView>
  </sheetViews>
  <sheetFormatPr defaultColWidth="9.6640625" defaultRowHeight="15.75" x14ac:dyDescent="0.2"/>
  <cols>
    <col min="1" max="1" width="6.109375" style="23" customWidth="1"/>
    <col min="2" max="2" width="46.5546875" style="67" customWidth="1"/>
    <col min="3" max="3" width="14" style="68" customWidth="1"/>
    <col min="4" max="4" width="6.44140625" style="68" customWidth="1"/>
    <col min="5" max="5" width="12.109375" style="68" customWidth="1"/>
    <col min="6" max="6" width="8.6640625" style="23" customWidth="1"/>
    <col min="7" max="8" width="9.109375" style="23" customWidth="1"/>
    <col min="9" max="9" width="8.5546875" style="67" customWidth="1"/>
    <col min="10" max="10" width="15.44140625" style="67" customWidth="1"/>
    <col min="11" max="11" width="22.5546875" style="66" customWidth="1"/>
    <col min="12" max="15" width="9.6640625" style="64"/>
    <col min="16" max="16" width="36.5546875" style="64" bestFit="1" customWidth="1"/>
    <col min="17" max="23" width="9.77734375" style="64" bestFit="1" customWidth="1"/>
    <col min="24" max="24" width="10.33203125" style="64" bestFit="1" customWidth="1"/>
    <col min="25" max="16384" width="9.6640625" style="64"/>
  </cols>
  <sheetData>
    <row r="1" spans="1:23" x14ac:dyDescent="0.2">
      <c r="B1" s="177"/>
      <c r="C1" s="61"/>
      <c r="D1" s="61"/>
      <c r="E1" s="61"/>
      <c r="F1" s="61"/>
      <c r="G1" s="61"/>
      <c r="H1" s="61"/>
      <c r="I1" s="60"/>
      <c r="J1" s="62"/>
      <c r="K1" s="63"/>
    </row>
    <row r="2" spans="1:23" x14ac:dyDescent="0.2">
      <c r="B2" s="177"/>
      <c r="C2" s="60"/>
      <c r="D2" s="61"/>
      <c r="E2" s="61"/>
      <c r="F2" s="61"/>
      <c r="G2" s="61"/>
      <c r="H2" s="61"/>
      <c r="I2" s="64"/>
      <c r="J2" s="64"/>
      <c r="K2" s="143"/>
    </row>
    <row r="3" spans="1:23" x14ac:dyDescent="0.2">
      <c r="B3" s="177"/>
      <c r="C3" s="144"/>
      <c r="D3" s="144"/>
      <c r="E3" s="144"/>
      <c r="F3" s="144"/>
      <c r="G3" s="144"/>
      <c r="H3" s="144"/>
      <c r="I3" s="144"/>
      <c r="J3" s="144"/>
      <c r="K3" s="145"/>
      <c r="S3" s="123"/>
      <c r="T3" s="124"/>
    </row>
    <row r="4" spans="1:23" ht="17.25" customHeight="1" x14ac:dyDescent="0.2">
      <c r="B4" s="177"/>
      <c r="C4" s="175"/>
      <c r="D4" s="175"/>
      <c r="E4" s="175"/>
      <c r="F4" s="142"/>
      <c r="G4" s="142"/>
      <c r="I4" s="61"/>
      <c r="J4" s="60"/>
      <c r="K4" s="134"/>
    </row>
    <row r="5" spans="1:23" ht="36.75" customHeight="1" x14ac:dyDescent="0.2">
      <c r="B5" s="171" t="s">
        <v>441</v>
      </c>
      <c r="C5" s="176" t="s">
        <v>442</v>
      </c>
      <c r="D5" s="176"/>
      <c r="E5" s="176"/>
      <c r="F5" s="176"/>
      <c r="G5" s="176"/>
      <c r="H5" s="176"/>
      <c r="I5" s="176"/>
      <c r="J5" s="69"/>
      <c r="K5" s="70"/>
    </row>
    <row r="6" spans="1:23" s="74" customFormat="1" ht="47.25" x14ac:dyDescent="0.2">
      <c r="A6" s="166" t="s">
        <v>5</v>
      </c>
      <c r="B6" s="167" t="s">
        <v>2</v>
      </c>
      <c r="C6" s="167" t="s">
        <v>8</v>
      </c>
      <c r="D6" s="167" t="s">
        <v>69</v>
      </c>
      <c r="E6" s="167" t="s">
        <v>70</v>
      </c>
      <c r="F6" s="168" t="s">
        <v>0</v>
      </c>
      <c r="G6" s="168" t="s">
        <v>439</v>
      </c>
      <c r="H6" s="168" t="s">
        <v>440</v>
      </c>
      <c r="I6" s="169" t="s">
        <v>97</v>
      </c>
      <c r="J6" s="167" t="s">
        <v>95</v>
      </c>
      <c r="K6" s="170" t="s">
        <v>4</v>
      </c>
      <c r="R6" s="125"/>
      <c r="S6" s="125"/>
      <c r="T6" s="125"/>
      <c r="U6" s="125"/>
      <c r="V6" s="125"/>
      <c r="W6" s="122"/>
    </row>
    <row r="7" spans="1:23" s="151" customFormat="1" x14ac:dyDescent="0.2">
      <c r="A7" s="146" t="str">
        <f>IF(F7&lt;&gt;"",1+MAX(#REF!),"")</f>
        <v/>
      </c>
      <c r="B7" s="147" t="s">
        <v>100</v>
      </c>
      <c r="C7" s="148"/>
      <c r="D7" s="148"/>
      <c r="E7" s="148"/>
      <c r="F7" s="149"/>
      <c r="G7" s="149"/>
      <c r="H7" s="149"/>
      <c r="I7" s="147"/>
      <c r="J7" s="147"/>
      <c r="K7" s="150">
        <f>SUM(J8:J12)</f>
        <v>30932.167000000001</v>
      </c>
    </row>
    <row r="8" spans="1:23" s="126" customFormat="1" x14ac:dyDescent="0.2">
      <c r="A8" s="28">
        <f>IF(F8&lt;&gt;"",1+MAX($A$7:A7),"")</f>
        <v>1</v>
      </c>
      <c r="B8" s="42" t="s">
        <v>220</v>
      </c>
      <c r="C8" s="96">
        <v>2429.46</v>
      </c>
      <c r="D8" s="121">
        <v>0</v>
      </c>
      <c r="E8" s="96">
        <f>C8*(1+D8)</f>
        <v>2429.46</v>
      </c>
      <c r="F8" s="23" t="s">
        <v>21</v>
      </c>
      <c r="G8" s="128">
        <v>8</v>
      </c>
      <c r="H8" s="128">
        <v>0</v>
      </c>
      <c r="I8" s="128">
        <f>G8+H8</f>
        <v>8</v>
      </c>
      <c r="J8" s="127">
        <f>I8*E8</f>
        <v>19435.68</v>
      </c>
      <c r="K8" s="129"/>
      <c r="L8" s="63"/>
      <c r="M8" s="63"/>
    </row>
    <row r="9" spans="1:23" s="126" customFormat="1" x14ac:dyDescent="0.2">
      <c r="A9" s="28">
        <f>IF(F9&lt;&gt;"",1+MAX($A$7:A8),"")</f>
        <v>2</v>
      </c>
      <c r="B9" s="42" t="s">
        <v>221</v>
      </c>
      <c r="C9" s="96">
        <v>367.59899999999999</v>
      </c>
      <c r="D9" s="121">
        <v>0</v>
      </c>
      <c r="E9" s="96">
        <f>C9*(1+D9)</f>
        <v>367.59899999999999</v>
      </c>
      <c r="F9" s="23" t="s">
        <v>21</v>
      </c>
      <c r="G9" s="128">
        <v>5</v>
      </c>
      <c r="H9" s="128">
        <v>0</v>
      </c>
      <c r="I9" s="128">
        <f t="shared" ref="I9:I12" si="0">G9+H9</f>
        <v>5</v>
      </c>
      <c r="J9" s="127">
        <f>I9*E9</f>
        <v>1837.9949999999999</v>
      </c>
      <c r="K9" s="129"/>
      <c r="L9" s="63"/>
      <c r="M9" s="63"/>
    </row>
    <row r="10" spans="1:23" s="126" customFormat="1" x14ac:dyDescent="0.2">
      <c r="A10" s="28">
        <f>IF(F10&lt;&gt;"",1+MAX($A$7:A9),"")</f>
        <v>3</v>
      </c>
      <c r="B10" s="42" t="s">
        <v>222</v>
      </c>
      <c r="C10" s="96">
        <v>576.96</v>
      </c>
      <c r="D10" s="121">
        <v>0</v>
      </c>
      <c r="E10" s="96">
        <f>C10*(1+D10)</f>
        <v>576.96</v>
      </c>
      <c r="F10" s="23" t="s">
        <v>21</v>
      </c>
      <c r="G10" s="128">
        <v>2</v>
      </c>
      <c r="H10" s="128">
        <v>0</v>
      </c>
      <c r="I10" s="128">
        <f t="shared" si="0"/>
        <v>2</v>
      </c>
      <c r="J10" s="127">
        <f>I10*E10</f>
        <v>1153.92</v>
      </c>
      <c r="K10" s="129"/>
      <c r="L10" s="63"/>
      <c r="M10" s="63"/>
    </row>
    <row r="11" spans="1:23" s="126" customFormat="1" x14ac:dyDescent="0.2">
      <c r="A11" s="28">
        <f>IF(F11&lt;&gt;"",1+MAX($A$7:A10),"")</f>
        <v>4</v>
      </c>
      <c r="B11" s="42" t="s">
        <v>223</v>
      </c>
      <c r="C11" s="96">
        <v>1250</v>
      </c>
      <c r="D11" s="121">
        <v>0</v>
      </c>
      <c r="E11" s="96">
        <f>C11*(1+D11)</f>
        <v>1250</v>
      </c>
      <c r="F11" s="23" t="s">
        <v>21</v>
      </c>
      <c r="G11" s="128">
        <v>6</v>
      </c>
      <c r="H11" s="128">
        <v>0</v>
      </c>
      <c r="I11" s="128">
        <f t="shared" si="0"/>
        <v>6</v>
      </c>
      <c r="J11" s="127">
        <f>I11*E11</f>
        <v>7500</v>
      </c>
      <c r="K11" s="129"/>
      <c r="L11" s="63"/>
      <c r="M11" s="63"/>
    </row>
    <row r="12" spans="1:23" s="126" customFormat="1" x14ac:dyDescent="0.2">
      <c r="A12" s="28">
        <f>IF(F12&lt;&gt;"",1+MAX($A$7:A11),"")</f>
        <v>5</v>
      </c>
      <c r="B12" s="42" t="s">
        <v>224</v>
      </c>
      <c r="C12" s="96">
        <v>251.143</v>
      </c>
      <c r="D12" s="121">
        <v>0</v>
      </c>
      <c r="E12" s="96">
        <f>C12*(1+D12)</f>
        <v>251.143</v>
      </c>
      <c r="F12" s="23" t="s">
        <v>21</v>
      </c>
      <c r="G12" s="128">
        <v>4</v>
      </c>
      <c r="H12" s="128">
        <v>0</v>
      </c>
      <c r="I12" s="128">
        <f t="shared" si="0"/>
        <v>4</v>
      </c>
      <c r="J12" s="127">
        <f>I12*E12</f>
        <v>1004.572</v>
      </c>
      <c r="K12" s="129"/>
      <c r="L12" s="63"/>
      <c r="M12" s="63"/>
    </row>
    <row r="13" spans="1:23" s="151" customFormat="1" x14ac:dyDescent="0.2">
      <c r="A13" s="146" t="str">
        <f>IF(F13&lt;&gt;"",1+MAX($A$7:A12),"")</f>
        <v/>
      </c>
      <c r="B13" s="147" t="s">
        <v>101</v>
      </c>
      <c r="C13" s="148"/>
      <c r="D13" s="148"/>
      <c r="E13" s="148"/>
      <c r="F13" s="149"/>
      <c r="G13" s="149"/>
      <c r="H13" s="149"/>
      <c r="I13" s="147"/>
      <c r="J13" s="147"/>
      <c r="K13" s="150">
        <f>SUM(J14:J32)</f>
        <v>205220.71504081486</v>
      </c>
    </row>
    <row r="14" spans="1:23" s="126" customFormat="1" ht="31.5" x14ac:dyDescent="0.2">
      <c r="A14" s="28">
        <f>IF(F14&lt;&gt;"",1+MAX($A$7:A13),"")</f>
        <v>6</v>
      </c>
      <c r="B14" s="43" t="s">
        <v>293</v>
      </c>
      <c r="C14" s="136">
        <f>683.067/27</f>
        <v>25.298777777777779</v>
      </c>
      <c r="D14" s="121">
        <v>0.1</v>
      </c>
      <c r="E14" s="136">
        <f t="shared" ref="E14:E20" si="1">C14*(1+D14)</f>
        <v>27.82865555555556</v>
      </c>
      <c r="F14" s="23" t="s">
        <v>102</v>
      </c>
      <c r="G14" s="140">
        <v>221.07339999999996</v>
      </c>
      <c r="H14" s="140">
        <v>398.92660000000001</v>
      </c>
      <c r="I14" s="128">
        <f>G14+H14</f>
        <v>620</v>
      </c>
      <c r="J14" s="127">
        <f t="shared" ref="J14:J27" si="2">I14*E14</f>
        <v>17253.766444444449</v>
      </c>
      <c r="K14" s="129"/>
    </row>
    <row r="15" spans="1:23" s="126" customFormat="1" ht="47.25" x14ac:dyDescent="0.2">
      <c r="A15" s="28">
        <f>IF(F15&lt;&gt;"",1+MAX($A$7:A14),"")</f>
        <v>7</v>
      </c>
      <c r="B15" s="43" t="s">
        <v>294</v>
      </c>
      <c r="C15" s="136">
        <f>1249.039/27</f>
        <v>46.260703703703705</v>
      </c>
      <c r="D15" s="121">
        <v>0.1</v>
      </c>
      <c r="E15" s="136">
        <f t="shared" si="1"/>
        <v>50.886774074074076</v>
      </c>
      <c r="F15" s="23" t="s">
        <v>102</v>
      </c>
      <c r="G15" s="140">
        <v>221.07339999999996</v>
      </c>
      <c r="H15" s="140">
        <v>398.92660000000001</v>
      </c>
      <c r="I15" s="128">
        <f t="shared" ref="I15:I32" si="3">G15+H15</f>
        <v>620</v>
      </c>
      <c r="J15" s="127">
        <f t="shared" si="2"/>
        <v>31549.799925925927</v>
      </c>
      <c r="K15" s="129"/>
    </row>
    <row r="16" spans="1:23" s="126" customFormat="1" ht="47.25" x14ac:dyDescent="0.2">
      <c r="A16" s="28">
        <f>IF(F16&lt;&gt;"",1+MAX($A$7:A15),"")</f>
        <v>8</v>
      </c>
      <c r="B16" s="43" t="s">
        <v>295</v>
      </c>
      <c r="C16" s="136">
        <f>347.732/27</f>
        <v>12.878962962962964</v>
      </c>
      <c r="D16" s="121">
        <v>0.1</v>
      </c>
      <c r="E16" s="136">
        <f t="shared" si="1"/>
        <v>14.166859259259262</v>
      </c>
      <c r="F16" s="23" t="s">
        <v>102</v>
      </c>
      <c r="G16" s="140">
        <v>221.07339999999996</v>
      </c>
      <c r="H16" s="140">
        <v>398.92660000000001</v>
      </c>
      <c r="I16" s="128">
        <f t="shared" si="3"/>
        <v>620</v>
      </c>
      <c r="J16" s="127">
        <f t="shared" si="2"/>
        <v>8783.4527407407422</v>
      </c>
      <c r="K16" s="129"/>
    </row>
    <row r="17" spans="1:11" s="126" customFormat="1" ht="31.5" x14ac:dyDescent="0.2">
      <c r="A17" s="28">
        <f>IF(F17&lt;&gt;"",1+MAX($A$7:A16),"")</f>
        <v>9</v>
      </c>
      <c r="B17" s="43" t="s">
        <v>296</v>
      </c>
      <c r="C17" s="136">
        <f>58.36*3.361/27</f>
        <v>7.2647392592592599</v>
      </c>
      <c r="D17" s="121">
        <v>0.1</v>
      </c>
      <c r="E17" s="136">
        <f t="shared" si="1"/>
        <v>7.9912131851851864</v>
      </c>
      <c r="F17" s="23" t="s">
        <v>102</v>
      </c>
      <c r="G17" s="140">
        <v>221.07339999999996</v>
      </c>
      <c r="H17" s="140">
        <v>398.92660000000001</v>
      </c>
      <c r="I17" s="128">
        <f t="shared" si="3"/>
        <v>620</v>
      </c>
      <c r="J17" s="127">
        <f t="shared" si="2"/>
        <v>4954.5521748148158</v>
      </c>
      <c r="K17" s="129"/>
    </row>
    <row r="18" spans="1:11" s="126" customFormat="1" ht="31.5" x14ac:dyDescent="0.2">
      <c r="A18" s="28">
        <f>IF(F18&lt;&gt;"",1+MAX($A$7:A17),"")</f>
        <v>10</v>
      </c>
      <c r="B18" s="43" t="s">
        <v>297</v>
      </c>
      <c r="C18" s="136">
        <f>7*3.5*3.5*2/27</f>
        <v>6.3518518518518521</v>
      </c>
      <c r="D18" s="121">
        <v>0.1</v>
      </c>
      <c r="E18" s="136">
        <f t="shared" si="1"/>
        <v>6.9870370370370383</v>
      </c>
      <c r="F18" s="23" t="s">
        <v>102</v>
      </c>
      <c r="G18" s="140">
        <v>221.07339999999996</v>
      </c>
      <c r="H18" s="140">
        <v>398.92660000000001</v>
      </c>
      <c r="I18" s="128">
        <f t="shared" si="3"/>
        <v>620</v>
      </c>
      <c r="J18" s="127">
        <f t="shared" si="2"/>
        <v>4331.9629629629635</v>
      </c>
      <c r="K18" s="129"/>
    </row>
    <row r="19" spans="1:11" s="126" customFormat="1" ht="31.5" x14ac:dyDescent="0.2">
      <c r="A19" s="28">
        <f>IF(F19&lt;&gt;"",1+MAX($A$7:A18),"")</f>
        <v>11</v>
      </c>
      <c r="B19" s="43" t="s">
        <v>298</v>
      </c>
      <c r="C19" s="136">
        <f>3*4*4*2/27</f>
        <v>3.5555555555555554</v>
      </c>
      <c r="D19" s="121">
        <v>0.1</v>
      </c>
      <c r="E19" s="136">
        <f t="shared" si="1"/>
        <v>3.9111111111111114</v>
      </c>
      <c r="F19" s="23" t="s">
        <v>102</v>
      </c>
      <c r="G19" s="140">
        <v>221.07339999999996</v>
      </c>
      <c r="H19" s="140">
        <v>398.92660000000001</v>
      </c>
      <c r="I19" s="128">
        <f t="shared" si="3"/>
        <v>620</v>
      </c>
      <c r="J19" s="127">
        <f t="shared" si="2"/>
        <v>2424.8888888888891</v>
      </c>
      <c r="K19" s="129"/>
    </row>
    <row r="20" spans="1:11" s="126" customFormat="1" ht="31.5" x14ac:dyDescent="0.2">
      <c r="A20" s="28">
        <f>IF(F20&lt;&gt;"",1+MAX($A$7:A19),"")</f>
        <v>12</v>
      </c>
      <c r="B20" s="43" t="s">
        <v>299</v>
      </c>
      <c r="C20" s="136">
        <f>5*5*5*2/27</f>
        <v>9.2592592592592595</v>
      </c>
      <c r="D20" s="121">
        <v>0.1</v>
      </c>
      <c r="E20" s="136">
        <f t="shared" si="1"/>
        <v>10.185185185185187</v>
      </c>
      <c r="F20" s="23" t="s">
        <v>102</v>
      </c>
      <c r="G20" s="140">
        <v>221.07339999999996</v>
      </c>
      <c r="H20" s="140">
        <v>398.92660000000001</v>
      </c>
      <c r="I20" s="128">
        <f t="shared" si="3"/>
        <v>620</v>
      </c>
      <c r="J20" s="127">
        <f t="shared" si="2"/>
        <v>6314.8148148148157</v>
      </c>
      <c r="K20" s="129"/>
    </row>
    <row r="21" spans="1:11" s="126" customFormat="1" ht="31.5" x14ac:dyDescent="0.2">
      <c r="A21" s="28">
        <f>IF(F21&lt;&gt;"",1+MAX($A$7:A20),"")</f>
        <v>13</v>
      </c>
      <c r="B21" s="43" t="s">
        <v>300</v>
      </c>
      <c r="C21" s="136">
        <f>1.5*5*2.167/27</f>
        <v>0.60194444444444439</v>
      </c>
      <c r="D21" s="121">
        <v>0.1</v>
      </c>
      <c r="E21" s="136">
        <f t="shared" ref="E21:E32" si="4">C21*(1+D21)</f>
        <v>0.66213888888888883</v>
      </c>
      <c r="F21" s="23" t="s">
        <v>102</v>
      </c>
      <c r="G21" s="140">
        <v>221.07339999999996</v>
      </c>
      <c r="H21" s="140">
        <v>398.92660000000001</v>
      </c>
      <c r="I21" s="128">
        <f t="shared" si="3"/>
        <v>620</v>
      </c>
      <c r="J21" s="127">
        <f t="shared" si="2"/>
        <v>410.52611111111105</v>
      </c>
      <c r="K21" s="129"/>
    </row>
    <row r="22" spans="1:11" s="126" customFormat="1" ht="31.5" x14ac:dyDescent="0.2">
      <c r="A22" s="28">
        <f>IF(F22&lt;&gt;"",1+MAX($A$7:A21),"")</f>
        <v>14</v>
      </c>
      <c r="B22" s="43" t="s">
        <v>301</v>
      </c>
      <c r="C22" s="96">
        <v>2822</v>
      </c>
      <c r="D22" s="121">
        <v>0.1</v>
      </c>
      <c r="E22" s="96">
        <f t="shared" si="4"/>
        <v>3104.2000000000003</v>
      </c>
      <c r="F22" s="23" t="s">
        <v>21</v>
      </c>
      <c r="G22" s="140">
        <v>2.6742749999999997</v>
      </c>
      <c r="H22" s="140">
        <v>4.8257250000000003</v>
      </c>
      <c r="I22" s="128">
        <f t="shared" si="3"/>
        <v>7.5</v>
      </c>
      <c r="J22" s="127">
        <f t="shared" si="2"/>
        <v>23281.500000000004</v>
      </c>
      <c r="K22" s="129"/>
    </row>
    <row r="23" spans="1:11" s="126" customFormat="1" x14ac:dyDescent="0.2">
      <c r="A23" s="28">
        <f>IF(F23&lt;&gt;"",1+MAX($A$7:A22),"")</f>
        <v>15</v>
      </c>
      <c r="B23" s="43" t="s">
        <v>279</v>
      </c>
      <c r="C23" s="96">
        <f>116.29*13</f>
        <v>1511.77</v>
      </c>
      <c r="D23" s="121">
        <v>0.1</v>
      </c>
      <c r="E23" s="96">
        <f t="shared" si="4"/>
        <v>1662.9470000000001</v>
      </c>
      <c r="F23" s="23" t="s">
        <v>21</v>
      </c>
      <c r="G23" s="140">
        <v>5.7051199999999991</v>
      </c>
      <c r="H23" s="140">
        <v>10.294880000000001</v>
      </c>
      <c r="I23" s="128">
        <f t="shared" si="3"/>
        <v>16</v>
      </c>
      <c r="J23" s="127">
        <f t="shared" si="2"/>
        <v>26607.152000000002</v>
      </c>
      <c r="K23" s="129"/>
    </row>
    <row r="24" spans="1:11" s="126" customFormat="1" x14ac:dyDescent="0.2">
      <c r="A24" s="28">
        <f>IF(F24&lt;&gt;"",1+MAX($A$7:A23),"")</f>
        <v>16</v>
      </c>
      <c r="B24" s="43" t="s">
        <v>278</v>
      </c>
      <c r="C24" s="96">
        <f>164.55*11.75</f>
        <v>1933.4625000000001</v>
      </c>
      <c r="D24" s="121">
        <v>0.1</v>
      </c>
      <c r="E24" s="96">
        <f t="shared" si="4"/>
        <v>2126.8087500000001</v>
      </c>
      <c r="F24" s="23" t="s">
        <v>21</v>
      </c>
      <c r="G24" s="140">
        <v>6.4182599999999992</v>
      </c>
      <c r="H24" s="140">
        <v>11.58174</v>
      </c>
      <c r="I24" s="128">
        <f t="shared" si="3"/>
        <v>18</v>
      </c>
      <c r="J24" s="127">
        <f t="shared" si="2"/>
        <v>38282.557500000003</v>
      </c>
      <c r="K24" s="129"/>
    </row>
    <row r="25" spans="1:11" s="126" customFormat="1" x14ac:dyDescent="0.2">
      <c r="A25" s="28">
        <f>IF(F25&lt;&gt;"",1+MAX($A$7:A24),"")</f>
        <v>17</v>
      </c>
      <c r="B25" s="43" t="s">
        <v>280</v>
      </c>
      <c r="C25" s="96">
        <f>10.167*75.51</f>
        <v>767.71017000000006</v>
      </c>
      <c r="D25" s="121">
        <v>0.1</v>
      </c>
      <c r="E25" s="96">
        <f t="shared" si="4"/>
        <v>844.48118700000009</v>
      </c>
      <c r="F25" s="23" t="s">
        <v>21</v>
      </c>
      <c r="G25" s="140">
        <v>6.4182599999999992</v>
      </c>
      <c r="H25" s="140">
        <v>11.58174</v>
      </c>
      <c r="I25" s="128">
        <f t="shared" si="3"/>
        <v>18</v>
      </c>
      <c r="J25" s="127">
        <f t="shared" si="2"/>
        <v>15200.661366000002</v>
      </c>
      <c r="K25" s="129"/>
    </row>
    <row r="26" spans="1:11" s="126" customFormat="1" ht="31.5" x14ac:dyDescent="0.2">
      <c r="A26" s="28">
        <f>IF(F26&lt;&gt;"",1+MAX($A$7:A25),"")</f>
        <v>18</v>
      </c>
      <c r="B26" s="43" t="s">
        <v>281</v>
      </c>
      <c r="C26" s="136">
        <f>114.285/27</f>
        <v>4.2327777777777778</v>
      </c>
      <c r="D26" s="121">
        <v>0.1</v>
      </c>
      <c r="E26" s="136">
        <f t="shared" si="4"/>
        <v>4.6560555555555556</v>
      </c>
      <c r="F26" s="23" t="s">
        <v>102</v>
      </c>
      <c r="G26" s="140">
        <v>192.54779999999997</v>
      </c>
      <c r="H26" s="140">
        <v>347.45220000000006</v>
      </c>
      <c r="I26" s="128">
        <f t="shared" si="3"/>
        <v>540</v>
      </c>
      <c r="J26" s="127">
        <f t="shared" si="2"/>
        <v>2514.27</v>
      </c>
      <c r="K26" s="129"/>
    </row>
    <row r="27" spans="1:11" s="126" customFormat="1" ht="31.5" x14ac:dyDescent="0.2">
      <c r="A27" s="28">
        <f>IF(F27&lt;&gt;"",1+MAX($A$7:A26),"")</f>
        <v>19</v>
      </c>
      <c r="B27" s="43" t="s">
        <v>282</v>
      </c>
      <c r="C27" s="136">
        <f>164.86/27</f>
        <v>6.1059259259259262</v>
      </c>
      <c r="D27" s="121">
        <v>0.1</v>
      </c>
      <c r="E27" s="136">
        <f t="shared" si="4"/>
        <v>6.7165185185185194</v>
      </c>
      <c r="F27" s="23" t="s">
        <v>102</v>
      </c>
      <c r="G27" s="140">
        <v>192.54779999999997</v>
      </c>
      <c r="H27" s="140">
        <v>347.45220000000006</v>
      </c>
      <c r="I27" s="128">
        <f t="shared" si="3"/>
        <v>540</v>
      </c>
      <c r="J27" s="127">
        <f t="shared" si="2"/>
        <v>3626.9200000000005</v>
      </c>
      <c r="K27" s="129"/>
    </row>
    <row r="28" spans="1:11" s="126" customFormat="1" ht="31.5" x14ac:dyDescent="0.2">
      <c r="A28" s="28">
        <f>IF(F28&lt;&gt;"",1+MAX($A$7:A27),"")</f>
        <v>20</v>
      </c>
      <c r="B28" s="43" t="s">
        <v>283</v>
      </c>
      <c r="C28" s="136">
        <f>260.76/27</f>
        <v>9.6577777777777776</v>
      </c>
      <c r="D28" s="121">
        <v>0.1</v>
      </c>
      <c r="E28" s="136">
        <f t="shared" si="4"/>
        <v>10.623555555555557</v>
      </c>
      <c r="F28" s="23" t="s">
        <v>102</v>
      </c>
      <c r="G28" s="140">
        <v>192.54779999999997</v>
      </c>
      <c r="H28" s="140">
        <v>347.45220000000006</v>
      </c>
      <c r="I28" s="128">
        <f t="shared" si="3"/>
        <v>540</v>
      </c>
      <c r="J28" s="127">
        <f>I28*E28</f>
        <v>5736.72</v>
      </c>
      <c r="K28" s="129"/>
    </row>
    <row r="29" spans="1:11" s="126" customFormat="1" x14ac:dyDescent="0.2">
      <c r="A29" s="28">
        <f>IF(F29&lt;&gt;"",1+MAX($A$7:A28),"")</f>
        <v>21</v>
      </c>
      <c r="B29" s="43" t="s">
        <v>291</v>
      </c>
      <c r="C29" s="96">
        <f>21.98*10.5</f>
        <v>230.79</v>
      </c>
      <c r="D29" s="121">
        <v>0.1</v>
      </c>
      <c r="E29" s="96">
        <f t="shared" si="4"/>
        <v>253.869</v>
      </c>
      <c r="F29" s="23" t="s">
        <v>21</v>
      </c>
      <c r="G29" s="140">
        <v>5.3485499999999995</v>
      </c>
      <c r="H29" s="140">
        <v>9.6514500000000005</v>
      </c>
      <c r="I29" s="128">
        <f t="shared" si="3"/>
        <v>15</v>
      </c>
      <c r="J29" s="127">
        <f>I29*E29</f>
        <v>3808.0349999999999</v>
      </c>
      <c r="K29" s="129"/>
    </row>
    <row r="30" spans="1:11" s="126" customFormat="1" x14ac:dyDescent="0.2">
      <c r="A30" s="28">
        <f>IF(F30&lt;&gt;"",1+MAX($A$7:A29),"")</f>
        <v>22</v>
      </c>
      <c r="B30" s="43" t="s">
        <v>292</v>
      </c>
      <c r="C30" s="136">
        <f>62.814/27</f>
        <v>2.3264444444444443</v>
      </c>
      <c r="D30" s="121">
        <v>0.1</v>
      </c>
      <c r="E30" s="136">
        <f t="shared" si="4"/>
        <v>2.5590888888888887</v>
      </c>
      <c r="F30" s="23" t="s">
        <v>102</v>
      </c>
      <c r="G30" s="140">
        <v>221.07339999999996</v>
      </c>
      <c r="H30" s="140">
        <v>398.92660000000001</v>
      </c>
      <c r="I30" s="128">
        <f t="shared" si="3"/>
        <v>620</v>
      </c>
      <c r="J30" s="127">
        <f>I30*E30</f>
        <v>1586.635111111111</v>
      </c>
      <c r="K30" s="129"/>
    </row>
    <row r="31" spans="1:11" s="126" customFormat="1" x14ac:dyDescent="0.2">
      <c r="A31" s="28">
        <f>IF(F31&lt;&gt;"",1+MAX($A$7:A30),"")</f>
        <v>23</v>
      </c>
      <c r="B31" s="43" t="s">
        <v>393</v>
      </c>
      <c r="C31" s="96">
        <v>20</v>
      </c>
      <c r="D31" s="121">
        <v>0.1</v>
      </c>
      <c r="E31" s="96">
        <f t="shared" si="4"/>
        <v>22</v>
      </c>
      <c r="F31" s="23" t="s">
        <v>396</v>
      </c>
      <c r="G31" s="140">
        <v>78.445399999999992</v>
      </c>
      <c r="H31" s="140">
        <v>141.55459999999999</v>
      </c>
      <c r="I31" s="128">
        <f t="shared" si="3"/>
        <v>220</v>
      </c>
      <c r="J31" s="127">
        <f>I31*E31</f>
        <v>4840</v>
      </c>
      <c r="K31" s="129"/>
    </row>
    <row r="32" spans="1:11" s="126" customFormat="1" x14ac:dyDescent="0.2">
      <c r="A32" s="28">
        <f>IF(F32&lt;&gt;"",1+MAX($A$7:A31),"")</f>
        <v>24</v>
      </c>
      <c r="B32" s="43" t="s">
        <v>394</v>
      </c>
      <c r="C32" s="96">
        <v>27</v>
      </c>
      <c r="D32" s="121">
        <v>0.1</v>
      </c>
      <c r="E32" s="96">
        <f t="shared" si="4"/>
        <v>29.700000000000003</v>
      </c>
      <c r="F32" s="23" t="s">
        <v>106</v>
      </c>
      <c r="G32" s="140">
        <v>44.571249999999992</v>
      </c>
      <c r="H32" s="140">
        <v>80.428750000000008</v>
      </c>
      <c r="I32" s="128">
        <f t="shared" si="3"/>
        <v>125</v>
      </c>
      <c r="J32" s="127">
        <f>I32*E32</f>
        <v>3712.5000000000005</v>
      </c>
      <c r="K32" s="129"/>
    </row>
    <row r="33" spans="1:11" s="151" customFormat="1" x14ac:dyDescent="0.2">
      <c r="A33" s="146" t="str">
        <f>IF(F33&lt;&gt;"",1+MAX($A$7:A32),"")</f>
        <v/>
      </c>
      <c r="B33" s="147" t="s">
        <v>284</v>
      </c>
      <c r="C33" s="148"/>
      <c r="D33" s="148"/>
      <c r="E33" s="148"/>
      <c r="F33" s="149"/>
      <c r="G33" s="149"/>
      <c r="H33" s="149"/>
      <c r="I33" s="147"/>
      <c r="J33" s="147"/>
      <c r="K33" s="150">
        <f>SUM(J34:J35)</f>
        <v>37167</v>
      </c>
    </row>
    <row r="34" spans="1:11" s="126" customFormat="1" x14ac:dyDescent="0.2">
      <c r="A34" s="28">
        <f>IF(F34&lt;&gt;"",1+MAX($A$7:A33),"")</f>
        <v>25</v>
      </c>
      <c r="B34" s="43" t="s">
        <v>285</v>
      </c>
      <c r="C34" s="96">
        <f>674+268</f>
        <v>942</v>
      </c>
      <c r="D34" s="121">
        <v>0.1</v>
      </c>
      <c r="E34" s="96">
        <f>C34*(1+D34)</f>
        <v>1036.2</v>
      </c>
      <c r="F34" s="23" t="s">
        <v>21</v>
      </c>
      <c r="G34" s="141">
        <v>14</v>
      </c>
      <c r="H34" s="141">
        <v>21</v>
      </c>
      <c r="I34" s="128">
        <f>G34+H34</f>
        <v>35</v>
      </c>
      <c r="J34" s="127">
        <f>I34*E34</f>
        <v>36267</v>
      </c>
      <c r="K34" s="129"/>
    </row>
    <row r="35" spans="1:11" s="126" customFormat="1" x14ac:dyDescent="0.2">
      <c r="A35" s="28">
        <f>IF(F35&lt;&gt;"",1+MAX($A$7:A34),"")</f>
        <v>26</v>
      </c>
      <c r="B35" s="43" t="s">
        <v>398</v>
      </c>
      <c r="C35" s="96">
        <v>2</v>
      </c>
      <c r="D35" s="121">
        <v>0</v>
      </c>
      <c r="E35" s="96">
        <f>C35*(1+D35)</f>
        <v>2</v>
      </c>
      <c r="F35" s="23" t="s">
        <v>106</v>
      </c>
      <c r="G35" s="141">
        <v>180</v>
      </c>
      <c r="H35" s="141">
        <v>270</v>
      </c>
      <c r="I35" s="128">
        <f>G35+H35</f>
        <v>450</v>
      </c>
      <c r="J35" s="127">
        <f>I35*E35</f>
        <v>900</v>
      </c>
      <c r="K35" s="129"/>
    </row>
    <row r="36" spans="1:11" s="151" customFormat="1" x14ac:dyDescent="0.2">
      <c r="A36" s="146" t="str">
        <f>IF(F36&lt;&gt;"",1+MAX($A$7:A35),"")</f>
        <v/>
      </c>
      <c r="B36" s="147" t="s">
        <v>188</v>
      </c>
      <c r="C36" s="148"/>
      <c r="D36" s="148"/>
      <c r="E36" s="148"/>
      <c r="F36" s="149"/>
      <c r="G36" s="149"/>
      <c r="H36" s="149"/>
      <c r="I36" s="147"/>
      <c r="J36" s="147"/>
      <c r="K36" s="150">
        <f>SUM(J37:J73)</f>
        <v>162150.87170000002</v>
      </c>
    </row>
    <row r="37" spans="1:11" s="126" customFormat="1" x14ac:dyDescent="0.2">
      <c r="A37" s="28">
        <f>IF(F37&lt;&gt;"",1+MAX($A$7:A36),"")</f>
        <v>27</v>
      </c>
      <c r="B37" s="43" t="s">
        <v>302</v>
      </c>
      <c r="C37" s="96">
        <f>29.61*19</f>
        <v>562.59</v>
      </c>
      <c r="D37" s="121">
        <v>0.1</v>
      </c>
      <c r="E37" s="96">
        <f>C37*(1+D37)</f>
        <v>618.84900000000005</v>
      </c>
      <c r="F37" s="23" t="s">
        <v>206</v>
      </c>
      <c r="G37" s="140">
        <v>1.3499999999999999</v>
      </c>
      <c r="H37" s="140">
        <v>3.1500000000000004</v>
      </c>
      <c r="I37" s="128">
        <f>G37+H37</f>
        <v>4.5</v>
      </c>
      <c r="J37" s="127">
        <f>I37*E37</f>
        <v>2784.8205000000003</v>
      </c>
      <c r="K37" s="129"/>
    </row>
    <row r="38" spans="1:11" s="126" customFormat="1" x14ac:dyDescent="0.2">
      <c r="A38" s="28">
        <f>IF(F38&lt;&gt;"",1+MAX($A$7:A37),"")</f>
        <v>28</v>
      </c>
      <c r="B38" s="43" t="s">
        <v>189</v>
      </c>
      <c r="C38" s="96">
        <f>43.2*22</f>
        <v>950.40000000000009</v>
      </c>
      <c r="D38" s="121">
        <v>0.1</v>
      </c>
      <c r="E38" s="96">
        <f>C38*(1+D38)</f>
        <v>1045.4400000000003</v>
      </c>
      <c r="F38" s="23" t="s">
        <v>206</v>
      </c>
      <c r="G38" s="140">
        <v>1.3499999999999999</v>
      </c>
      <c r="H38" s="140">
        <v>3.1500000000000004</v>
      </c>
      <c r="I38" s="128">
        <f t="shared" ref="I38:I73" si="5">G38+H38</f>
        <v>4.5</v>
      </c>
      <c r="J38" s="127">
        <f t="shared" ref="J38:J54" si="6">I38*E38</f>
        <v>4704.4800000000014</v>
      </c>
      <c r="K38" s="129"/>
    </row>
    <row r="39" spans="1:11" s="126" customFormat="1" x14ac:dyDescent="0.2">
      <c r="A39" s="28">
        <f>IF(F39&lt;&gt;"",1+MAX($A$7:A38),"")</f>
        <v>29</v>
      </c>
      <c r="B39" s="43" t="s">
        <v>190</v>
      </c>
      <c r="C39" s="96">
        <f>18.09*30</f>
        <v>542.70000000000005</v>
      </c>
      <c r="D39" s="121">
        <v>0.1</v>
      </c>
      <c r="E39" s="96">
        <f t="shared" ref="E39:E48" si="7">C39*(1+D39)</f>
        <v>596.97000000000014</v>
      </c>
      <c r="F39" s="23" t="s">
        <v>206</v>
      </c>
      <c r="G39" s="140">
        <v>1.3499999999999999</v>
      </c>
      <c r="H39" s="140">
        <v>3.1500000000000004</v>
      </c>
      <c r="I39" s="128">
        <f t="shared" si="5"/>
        <v>4.5</v>
      </c>
      <c r="J39" s="127">
        <f t="shared" si="6"/>
        <v>2686.3650000000007</v>
      </c>
      <c r="K39" s="129"/>
    </row>
    <row r="40" spans="1:11" s="126" customFormat="1" x14ac:dyDescent="0.2">
      <c r="A40" s="28">
        <f>IF(F40&lt;&gt;"",1+MAX($A$7:A39),"")</f>
        <v>30</v>
      </c>
      <c r="B40" s="43" t="s">
        <v>191</v>
      </c>
      <c r="C40" s="96">
        <f>19.35*33</f>
        <v>638.55000000000007</v>
      </c>
      <c r="D40" s="121">
        <v>0.1</v>
      </c>
      <c r="E40" s="96">
        <f t="shared" si="7"/>
        <v>702.40500000000009</v>
      </c>
      <c r="F40" s="23" t="s">
        <v>206</v>
      </c>
      <c r="G40" s="140">
        <v>1.3499999999999999</v>
      </c>
      <c r="H40" s="140">
        <v>3.1500000000000004</v>
      </c>
      <c r="I40" s="128">
        <f t="shared" si="5"/>
        <v>4.5</v>
      </c>
      <c r="J40" s="127">
        <f t="shared" si="6"/>
        <v>3160.8225000000002</v>
      </c>
      <c r="K40" s="129"/>
    </row>
    <row r="41" spans="1:11" s="126" customFormat="1" x14ac:dyDescent="0.2">
      <c r="A41" s="28">
        <f>IF(F41&lt;&gt;"",1+MAX($A$7:A40),"")</f>
        <v>31</v>
      </c>
      <c r="B41" s="43" t="s">
        <v>192</v>
      </c>
      <c r="C41" s="96">
        <f>14.87*39</f>
        <v>579.92999999999995</v>
      </c>
      <c r="D41" s="121">
        <v>0.1</v>
      </c>
      <c r="E41" s="96">
        <f t="shared" si="7"/>
        <v>637.923</v>
      </c>
      <c r="F41" s="23" t="s">
        <v>206</v>
      </c>
      <c r="G41" s="140">
        <v>1.3499999999999999</v>
      </c>
      <c r="H41" s="140">
        <v>3.1500000000000004</v>
      </c>
      <c r="I41" s="128">
        <f t="shared" si="5"/>
        <v>4.5</v>
      </c>
      <c r="J41" s="127">
        <f t="shared" si="6"/>
        <v>2870.6534999999999</v>
      </c>
      <c r="K41" s="129"/>
    </row>
    <row r="42" spans="1:11" s="126" customFormat="1" x14ac:dyDescent="0.2">
      <c r="A42" s="28">
        <f>IF(F42&lt;&gt;"",1+MAX($A$7:A41),"")</f>
        <v>32</v>
      </c>
      <c r="B42" s="43" t="s">
        <v>193</v>
      </c>
      <c r="C42" s="96">
        <f>37.7*45</f>
        <v>1696.5000000000002</v>
      </c>
      <c r="D42" s="121">
        <v>0.1</v>
      </c>
      <c r="E42" s="96">
        <f t="shared" si="7"/>
        <v>1866.1500000000003</v>
      </c>
      <c r="F42" s="23" t="s">
        <v>206</v>
      </c>
      <c r="G42" s="140">
        <v>1.3499999999999999</v>
      </c>
      <c r="H42" s="140">
        <v>3.1500000000000004</v>
      </c>
      <c r="I42" s="128">
        <f t="shared" si="5"/>
        <v>4.5</v>
      </c>
      <c r="J42" s="127">
        <f t="shared" si="6"/>
        <v>8397.6750000000011</v>
      </c>
      <c r="K42" s="129"/>
    </row>
    <row r="43" spans="1:11" s="126" customFormat="1" x14ac:dyDescent="0.2">
      <c r="A43" s="28">
        <f>IF(F43&lt;&gt;"",1+MAX($A$7:A42),"")</f>
        <v>33</v>
      </c>
      <c r="B43" s="43" t="s">
        <v>194</v>
      </c>
      <c r="C43" s="96">
        <f>6.61*19</f>
        <v>125.59</v>
      </c>
      <c r="D43" s="121">
        <v>0.1</v>
      </c>
      <c r="E43" s="96">
        <f t="shared" si="7"/>
        <v>138.149</v>
      </c>
      <c r="F43" s="23" t="s">
        <v>206</v>
      </c>
      <c r="G43" s="140">
        <v>1.3499999999999999</v>
      </c>
      <c r="H43" s="140">
        <v>3.1500000000000004</v>
      </c>
      <c r="I43" s="128">
        <f t="shared" si="5"/>
        <v>4.5</v>
      </c>
      <c r="J43" s="127">
        <f t="shared" si="6"/>
        <v>621.67049999999995</v>
      </c>
      <c r="K43" s="129"/>
    </row>
    <row r="44" spans="1:11" s="126" customFormat="1" x14ac:dyDescent="0.2">
      <c r="A44" s="28">
        <f>IF(F44&lt;&gt;"",1+MAX($A$7:A43),"")</f>
        <v>34</v>
      </c>
      <c r="B44" s="43" t="s">
        <v>195</v>
      </c>
      <c r="C44" s="96">
        <f>42.7*26</f>
        <v>1110.2</v>
      </c>
      <c r="D44" s="121">
        <v>0.1</v>
      </c>
      <c r="E44" s="96">
        <f t="shared" si="7"/>
        <v>1221.2200000000003</v>
      </c>
      <c r="F44" s="23" t="s">
        <v>206</v>
      </c>
      <c r="G44" s="140">
        <v>1.3499999999999999</v>
      </c>
      <c r="H44" s="140">
        <v>3.1500000000000004</v>
      </c>
      <c r="I44" s="128">
        <f t="shared" si="5"/>
        <v>4.5</v>
      </c>
      <c r="J44" s="127">
        <f t="shared" si="6"/>
        <v>5495.4900000000016</v>
      </c>
      <c r="K44" s="129"/>
    </row>
    <row r="45" spans="1:11" s="126" customFormat="1" x14ac:dyDescent="0.2">
      <c r="A45" s="28">
        <f>IF(F45&lt;&gt;"",1+MAX($A$7:A44),"")</f>
        <v>35</v>
      </c>
      <c r="B45" s="43" t="s">
        <v>196</v>
      </c>
      <c r="C45" s="96">
        <f>26.5*30</f>
        <v>795</v>
      </c>
      <c r="D45" s="121">
        <v>0.1</v>
      </c>
      <c r="E45" s="96">
        <f t="shared" si="7"/>
        <v>874.50000000000011</v>
      </c>
      <c r="F45" s="23" t="s">
        <v>206</v>
      </c>
      <c r="G45" s="140">
        <v>1.3499999999999999</v>
      </c>
      <c r="H45" s="140">
        <v>3.1500000000000004</v>
      </c>
      <c r="I45" s="128">
        <f t="shared" si="5"/>
        <v>4.5</v>
      </c>
      <c r="J45" s="127">
        <f t="shared" si="6"/>
        <v>3935.2500000000005</v>
      </c>
      <c r="K45" s="129"/>
    </row>
    <row r="46" spans="1:11" s="126" customFormat="1" x14ac:dyDescent="0.2">
      <c r="A46" s="28">
        <f>IF(F46&lt;&gt;"",1+MAX($A$7:A45),"")</f>
        <v>36</v>
      </c>
      <c r="B46" s="43" t="s">
        <v>197</v>
      </c>
      <c r="C46" s="96">
        <f>51.22*35</f>
        <v>1792.7</v>
      </c>
      <c r="D46" s="121">
        <v>0.1</v>
      </c>
      <c r="E46" s="96">
        <f t="shared" si="7"/>
        <v>1971.9700000000003</v>
      </c>
      <c r="F46" s="23" t="s">
        <v>206</v>
      </c>
      <c r="G46" s="140">
        <v>1.3499999999999999</v>
      </c>
      <c r="H46" s="140">
        <v>3.1500000000000004</v>
      </c>
      <c r="I46" s="128">
        <f t="shared" si="5"/>
        <v>4.5</v>
      </c>
      <c r="J46" s="127">
        <f t="shared" si="6"/>
        <v>8873.8650000000016</v>
      </c>
      <c r="K46" s="129"/>
    </row>
    <row r="47" spans="1:11" s="126" customFormat="1" x14ac:dyDescent="0.2">
      <c r="A47" s="28">
        <f>IF(F47&lt;&gt;"",1+MAX($A$7:A46),"")</f>
        <v>37</v>
      </c>
      <c r="B47" s="43" t="s">
        <v>198</v>
      </c>
      <c r="C47" s="96">
        <f>20.36*45</f>
        <v>916.19999999999993</v>
      </c>
      <c r="D47" s="121">
        <v>0.1</v>
      </c>
      <c r="E47" s="96">
        <f t="shared" si="7"/>
        <v>1007.82</v>
      </c>
      <c r="F47" s="23" t="s">
        <v>206</v>
      </c>
      <c r="G47" s="140">
        <v>1.3499999999999999</v>
      </c>
      <c r="H47" s="140">
        <v>3.1500000000000004</v>
      </c>
      <c r="I47" s="128">
        <f t="shared" si="5"/>
        <v>4.5</v>
      </c>
      <c r="J47" s="127">
        <f t="shared" si="6"/>
        <v>4535.1900000000005</v>
      </c>
      <c r="K47" s="129"/>
    </row>
    <row r="48" spans="1:11" s="126" customFormat="1" x14ac:dyDescent="0.2">
      <c r="A48" s="28">
        <f>IF(F48&lt;&gt;"",1+MAX($A$7:A47),"")</f>
        <v>38</v>
      </c>
      <c r="B48" s="43" t="s">
        <v>199</v>
      </c>
      <c r="C48" s="96">
        <f>18.66*34</f>
        <v>634.44000000000005</v>
      </c>
      <c r="D48" s="121">
        <v>0.1</v>
      </c>
      <c r="E48" s="96">
        <f t="shared" si="7"/>
        <v>697.88400000000013</v>
      </c>
      <c r="F48" s="23" t="s">
        <v>206</v>
      </c>
      <c r="G48" s="140">
        <v>1.3499999999999999</v>
      </c>
      <c r="H48" s="140">
        <v>3.1500000000000004</v>
      </c>
      <c r="I48" s="128">
        <f t="shared" si="5"/>
        <v>4.5</v>
      </c>
      <c r="J48" s="127">
        <f t="shared" si="6"/>
        <v>3140.4780000000005</v>
      </c>
      <c r="K48" s="129"/>
    </row>
    <row r="49" spans="1:11" s="126" customFormat="1" x14ac:dyDescent="0.2">
      <c r="A49" s="28">
        <f>IF(F49&lt;&gt;"",1+MAX($A$7:A48),"")</f>
        <v>39</v>
      </c>
      <c r="B49" s="43" t="s">
        <v>200</v>
      </c>
      <c r="C49" s="96">
        <f>25.56*68</f>
        <v>1738.08</v>
      </c>
      <c r="D49" s="121">
        <v>0.1</v>
      </c>
      <c r="E49" s="96">
        <f t="shared" ref="E49:E54" si="8">C49*(1+D49)</f>
        <v>1911.8880000000001</v>
      </c>
      <c r="F49" s="23" t="s">
        <v>206</v>
      </c>
      <c r="G49" s="140">
        <v>1.3499999999999999</v>
      </c>
      <c r="H49" s="140">
        <v>3.1500000000000004</v>
      </c>
      <c r="I49" s="128">
        <f t="shared" si="5"/>
        <v>4.5</v>
      </c>
      <c r="J49" s="127">
        <f t="shared" si="6"/>
        <v>8603.496000000001</v>
      </c>
      <c r="K49" s="129"/>
    </row>
    <row r="50" spans="1:11" s="126" customFormat="1" x14ac:dyDescent="0.2">
      <c r="A50" s="28">
        <f>IF(F50&lt;&gt;"",1+MAX($A$7:A49),"")</f>
        <v>40</v>
      </c>
      <c r="B50" s="43" t="s">
        <v>201</v>
      </c>
      <c r="C50" s="96">
        <f>19.57*82</f>
        <v>1604.74</v>
      </c>
      <c r="D50" s="121">
        <v>0.1</v>
      </c>
      <c r="E50" s="96">
        <f t="shared" si="8"/>
        <v>1765.2140000000002</v>
      </c>
      <c r="F50" s="23" t="s">
        <v>206</v>
      </c>
      <c r="G50" s="140">
        <v>1.3499999999999999</v>
      </c>
      <c r="H50" s="140">
        <v>3.1500000000000004</v>
      </c>
      <c r="I50" s="128">
        <f t="shared" si="5"/>
        <v>4.5</v>
      </c>
      <c r="J50" s="127">
        <f t="shared" si="6"/>
        <v>7943.4630000000006</v>
      </c>
      <c r="K50" s="129"/>
    </row>
    <row r="51" spans="1:11" s="126" customFormat="1" x14ac:dyDescent="0.2">
      <c r="A51" s="28">
        <f>IF(F51&lt;&gt;"",1+MAX($A$7:A50),"")</f>
        <v>41</v>
      </c>
      <c r="B51" s="43" t="s">
        <v>202</v>
      </c>
      <c r="C51" s="96">
        <f>15.34*67</f>
        <v>1027.78</v>
      </c>
      <c r="D51" s="121">
        <v>0.1</v>
      </c>
      <c r="E51" s="96">
        <f t="shared" si="8"/>
        <v>1130.558</v>
      </c>
      <c r="F51" s="23" t="s">
        <v>206</v>
      </c>
      <c r="G51" s="140">
        <v>1.3499999999999999</v>
      </c>
      <c r="H51" s="140">
        <v>3.1500000000000004</v>
      </c>
      <c r="I51" s="128">
        <f t="shared" si="5"/>
        <v>4.5</v>
      </c>
      <c r="J51" s="127">
        <f t="shared" si="6"/>
        <v>5087.5110000000004</v>
      </c>
      <c r="K51" s="129"/>
    </row>
    <row r="52" spans="1:11" s="126" customFormat="1" x14ac:dyDescent="0.2">
      <c r="A52" s="28">
        <f>IF(F52&lt;&gt;"",1+MAX($A$7:A51),"")</f>
        <v>42</v>
      </c>
      <c r="B52" s="43" t="s">
        <v>203</v>
      </c>
      <c r="C52" s="96">
        <f>25.2*71</f>
        <v>1789.2</v>
      </c>
      <c r="D52" s="121">
        <v>0.1</v>
      </c>
      <c r="E52" s="96">
        <f t="shared" si="8"/>
        <v>1968.1200000000001</v>
      </c>
      <c r="F52" s="23" t="s">
        <v>206</v>
      </c>
      <c r="G52" s="140">
        <v>1.3499999999999999</v>
      </c>
      <c r="H52" s="140">
        <v>3.1500000000000004</v>
      </c>
      <c r="I52" s="128">
        <f t="shared" si="5"/>
        <v>4.5</v>
      </c>
      <c r="J52" s="127">
        <f t="shared" si="6"/>
        <v>8856.5400000000009</v>
      </c>
      <c r="K52" s="129"/>
    </row>
    <row r="53" spans="1:11" s="126" customFormat="1" x14ac:dyDescent="0.2">
      <c r="A53" s="28">
        <f>IF(F53&lt;&gt;"",1+MAX($A$7:A52),"")</f>
        <v>43</v>
      </c>
      <c r="B53" s="43" t="s">
        <v>204</v>
      </c>
      <c r="C53" s="96">
        <f>18.54*21</f>
        <v>389.34</v>
      </c>
      <c r="D53" s="121">
        <v>0.1</v>
      </c>
      <c r="E53" s="96">
        <f t="shared" si="8"/>
        <v>428.274</v>
      </c>
      <c r="F53" s="23" t="s">
        <v>206</v>
      </c>
      <c r="G53" s="140">
        <v>1.3499999999999999</v>
      </c>
      <c r="H53" s="140">
        <v>3.1500000000000004</v>
      </c>
      <c r="I53" s="128">
        <f t="shared" si="5"/>
        <v>4.5</v>
      </c>
      <c r="J53" s="127">
        <f t="shared" si="6"/>
        <v>1927.2329999999999</v>
      </c>
      <c r="K53" s="129"/>
    </row>
    <row r="54" spans="1:11" s="126" customFormat="1" x14ac:dyDescent="0.2">
      <c r="A54" s="28">
        <f>IF(F54&lt;&gt;"",1+MAX($A$7:A53),"")</f>
        <v>44</v>
      </c>
      <c r="B54" s="43" t="s">
        <v>205</v>
      </c>
      <c r="C54" s="96">
        <f>75.6*28</f>
        <v>2116.7999999999997</v>
      </c>
      <c r="D54" s="121">
        <v>0.1</v>
      </c>
      <c r="E54" s="96">
        <f t="shared" si="8"/>
        <v>2328.48</v>
      </c>
      <c r="F54" s="23" t="s">
        <v>206</v>
      </c>
      <c r="G54" s="140">
        <v>1.3499999999999999</v>
      </c>
      <c r="H54" s="140">
        <v>3.1500000000000004</v>
      </c>
      <c r="I54" s="128">
        <f t="shared" si="5"/>
        <v>4.5</v>
      </c>
      <c r="J54" s="127">
        <f t="shared" si="6"/>
        <v>10478.16</v>
      </c>
      <c r="K54" s="129"/>
    </row>
    <row r="55" spans="1:11" s="126" customFormat="1" x14ac:dyDescent="0.2">
      <c r="A55" s="28">
        <f>IF(F55&lt;&gt;"",1+MAX($A$7:A54),"")</f>
        <v>45</v>
      </c>
      <c r="B55" s="43" t="s">
        <v>303</v>
      </c>
      <c r="C55" s="96">
        <f>21.36*16</f>
        <v>341.76</v>
      </c>
      <c r="D55" s="121">
        <v>0.1</v>
      </c>
      <c r="E55" s="96">
        <f t="shared" ref="E55:E73" si="9">C55*(1+D55)</f>
        <v>375.93600000000004</v>
      </c>
      <c r="F55" s="23" t="s">
        <v>206</v>
      </c>
      <c r="G55" s="140">
        <v>1.3499999999999999</v>
      </c>
      <c r="H55" s="140">
        <v>3.1500000000000004</v>
      </c>
      <c r="I55" s="128">
        <f t="shared" si="5"/>
        <v>4.5</v>
      </c>
      <c r="J55" s="127">
        <f t="shared" ref="J55:J73" si="10">I55*E55</f>
        <v>1691.7120000000002</v>
      </c>
      <c r="K55" s="129"/>
    </row>
    <row r="56" spans="1:11" s="126" customFormat="1" x14ac:dyDescent="0.2">
      <c r="A56" s="28">
        <f>IF(F56&lt;&gt;"",1+MAX($A$7:A55),"")</f>
        <v>46</v>
      </c>
      <c r="B56" s="43" t="s">
        <v>287</v>
      </c>
      <c r="C56" s="96">
        <f>21.36*16</f>
        <v>341.76</v>
      </c>
      <c r="D56" s="121">
        <v>0.1</v>
      </c>
      <c r="E56" s="96">
        <f t="shared" si="9"/>
        <v>375.93600000000004</v>
      </c>
      <c r="F56" s="23" t="s">
        <v>206</v>
      </c>
      <c r="G56" s="140">
        <v>1.3499999999999999</v>
      </c>
      <c r="H56" s="140">
        <v>3.1500000000000004</v>
      </c>
      <c r="I56" s="128">
        <f t="shared" si="5"/>
        <v>4.5</v>
      </c>
      <c r="J56" s="127">
        <f t="shared" si="10"/>
        <v>1691.7120000000002</v>
      </c>
      <c r="K56" s="129"/>
    </row>
    <row r="57" spans="1:11" s="126" customFormat="1" x14ac:dyDescent="0.2">
      <c r="A57" s="28">
        <f>IF(F57&lt;&gt;"",1+MAX($A$7:A56),"")</f>
        <v>47</v>
      </c>
      <c r="B57" s="43" t="s">
        <v>399</v>
      </c>
      <c r="C57" s="96">
        <v>140</v>
      </c>
      <c r="D57" s="121">
        <v>0.1</v>
      </c>
      <c r="E57" s="96">
        <f t="shared" si="9"/>
        <v>154</v>
      </c>
      <c r="F57" s="23" t="s">
        <v>153</v>
      </c>
      <c r="G57" s="140">
        <v>2.1</v>
      </c>
      <c r="H57" s="140">
        <v>4.9000000000000004</v>
      </c>
      <c r="I57" s="128">
        <f t="shared" si="5"/>
        <v>7</v>
      </c>
      <c r="J57" s="127">
        <f t="shared" si="10"/>
        <v>1078</v>
      </c>
      <c r="K57" s="129"/>
    </row>
    <row r="58" spans="1:11" s="126" customFormat="1" x14ac:dyDescent="0.2">
      <c r="A58" s="28">
        <f>IF(F58&lt;&gt;"",1+MAX($A$7:A57),"")</f>
        <v>48</v>
      </c>
      <c r="B58" s="43" t="s">
        <v>286</v>
      </c>
      <c r="C58" s="96">
        <f>34.38*42.7</f>
        <v>1468.0260000000003</v>
      </c>
      <c r="D58" s="121">
        <v>0.1</v>
      </c>
      <c r="E58" s="96">
        <f t="shared" si="9"/>
        <v>1614.8286000000005</v>
      </c>
      <c r="F58" s="23" t="s">
        <v>206</v>
      </c>
      <c r="G58" s="140">
        <v>1.3499999999999999</v>
      </c>
      <c r="H58" s="140">
        <v>3.1500000000000004</v>
      </c>
      <c r="I58" s="128">
        <f t="shared" si="5"/>
        <v>4.5</v>
      </c>
      <c r="J58" s="127">
        <f t="shared" si="10"/>
        <v>7266.7287000000024</v>
      </c>
      <c r="K58" s="129"/>
    </row>
    <row r="59" spans="1:11" s="126" customFormat="1" x14ac:dyDescent="0.2">
      <c r="A59" s="28">
        <f>IF(F59&lt;&gt;"",1+MAX($A$7:A58),"")</f>
        <v>49</v>
      </c>
      <c r="B59" s="43" t="s">
        <v>288</v>
      </c>
      <c r="C59" s="96">
        <f>21.15*25</f>
        <v>528.75</v>
      </c>
      <c r="D59" s="121">
        <v>0.1</v>
      </c>
      <c r="E59" s="96">
        <f t="shared" si="9"/>
        <v>581.625</v>
      </c>
      <c r="F59" s="23" t="s">
        <v>206</v>
      </c>
      <c r="G59" s="140">
        <v>1.3499999999999999</v>
      </c>
      <c r="H59" s="140">
        <v>3.1500000000000004</v>
      </c>
      <c r="I59" s="128">
        <f t="shared" si="5"/>
        <v>4.5</v>
      </c>
      <c r="J59" s="127">
        <f t="shared" si="10"/>
        <v>2617.3125</v>
      </c>
      <c r="K59" s="129"/>
    </row>
    <row r="60" spans="1:11" s="126" customFormat="1" x14ac:dyDescent="0.2">
      <c r="A60" s="28">
        <f>IF(F60&lt;&gt;"",1+MAX($A$7:A59),"")</f>
        <v>50</v>
      </c>
      <c r="B60" s="43" t="s">
        <v>436</v>
      </c>
      <c r="C60" s="96">
        <f>60*26</f>
        <v>1560</v>
      </c>
      <c r="D60" s="121">
        <v>0.1</v>
      </c>
      <c r="E60" s="96">
        <f t="shared" ref="E60:E61" si="11">C60*(1+D60)</f>
        <v>1716.0000000000002</v>
      </c>
      <c r="F60" s="23" t="s">
        <v>206</v>
      </c>
      <c r="G60" s="140">
        <v>1.3499999999999999</v>
      </c>
      <c r="H60" s="140">
        <v>3.1500000000000004</v>
      </c>
      <c r="I60" s="128">
        <f t="shared" si="5"/>
        <v>4.5</v>
      </c>
      <c r="J60" s="127">
        <f t="shared" ref="J60:J61" si="12">I60*E60</f>
        <v>7722.0000000000009</v>
      </c>
      <c r="K60" s="129"/>
    </row>
    <row r="61" spans="1:11" s="126" customFormat="1" x14ac:dyDescent="0.2">
      <c r="A61" s="28">
        <f>IF(F61&lt;&gt;"",1+MAX($A$7:A60),"")</f>
        <v>51</v>
      </c>
      <c r="B61" s="43" t="s">
        <v>437</v>
      </c>
      <c r="C61" s="96">
        <f>60*24</f>
        <v>1440</v>
      </c>
      <c r="D61" s="121">
        <v>0.1</v>
      </c>
      <c r="E61" s="96">
        <f t="shared" si="11"/>
        <v>1584.0000000000002</v>
      </c>
      <c r="F61" s="23" t="s">
        <v>206</v>
      </c>
      <c r="G61" s="140">
        <v>1.3499999999999999</v>
      </c>
      <c r="H61" s="140">
        <v>3.1500000000000004</v>
      </c>
      <c r="I61" s="128">
        <f t="shared" si="5"/>
        <v>4.5</v>
      </c>
      <c r="J61" s="127">
        <f t="shared" si="12"/>
        <v>7128.0000000000009</v>
      </c>
      <c r="K61" s="129"/>
    </row>
    <row r="62" spans="1:11" s="126" customFormat="1" x14ac:dyDescent="0.2">
      <c r="A62" s="28">
        <f>IF(F62&lt;&gt;"",1+MAX($A$7:A61),"")</f>
        <v>52</v>
      </c>
      <c r="B62" s="43" t="s">
        <v>289</v>
      </c>
      <c r="C62" s="96">
        <f>5*35</f>
        <v>175</v>
      </c>
      <c r="D62" s="121">
        <v>0.1</v>
      </c>
      <c r="E62" s="96">
        <f t="shared" si="9"/>
        <v>192.50000000000003</v>
      </c>
      <c r="F62" s="23" t="s">
        <v>153</v>
      </c>
      <c r="G62" s="140">
        <v>2.4</v>
      </c>
      <c r="H62" s="140">
        <v>5.6</v>
      </c>
      <c r="I62" s="128">
        <f t="shared" si="5"/>
        <v>8</v>
      </c>
      <c r="J62" s="127">
        <f t="shared" si="10"/>
        <v>1540.0000000000002</v>
      </c>
      <c r="K62" s="129"/>
    </row>
    <row r="63" spans="1:11" s="126" customFormat="1" x14ac:dyDescent="0.2">
      <c r="A63" s="28">
        <f>IF(F63&lt;&gt;"",1+MAX($A$7:A62),"")</f>
        <v>53</v>
      </c>
      <c r="B63" s="43" t="s">
        <v>290</v>
      </c>
      <c r="C63" s="96">
        <f>7*30</f>
        <v>210</v>
      </c>
      <c r="D63" s="121">
        <v>0.1</v>
      </c>
      <c r="E63" s="96">
        <f t="shared" si="9"/>
        <v>231.00000000000003</v>
      </c>
      <c r="F63" s="23" t="s">
        <v>153</v>
      </c>
      <c r="G63" s="140">
        <v>1.7999999999999998</v>
      </c>
      <c r="H63" s="140">
        <v>4.2</v>
      </c>
      <c r="I63" s="128">
        <f t="shared" si="5"/>
        <v>6</v>
      </c>
      <c r="J63" s="127">
        <f t="shared" si="10"/>
        <v>1386.0000000000002</v>
      </c>
      <c r="K63" s="129"/>
    </row>
    <row r="64" spans="1:11" s="126" customFormat="1" x14ac:dyDescent="0.2">
      <c r="A64" s="28">
        <f>IF(F64&lt;&gt;"",1+MAX($A$7:A63),"")</f>
        <v>54</v>
      </c>
      <c r="B64" s="43" t="s">
        <v>304</v>
      </c>
      <c r="C64" s="96">
        <f>21.36*16</f>
        <v>341.76</v>
      </c>
      <c r="D64" s="121">
        <v>0.1</v>
      </c>
      <c r="E64" s="96">
        <f t="shared" si="9"/>
        <v>375.93600000000004</v>
      </c>
      <c r="F64" s="23" t="s">
        <v>206</v>
      </c>
      <c r="G64" s="140">
        <v>1.3499999999999999</v>
      </c>
      <c r="H64" s="140">
        <v>3.1500000000000004</v>
      </c>
      <c r="I64" s="128">
        <f t="shared" si="5"/>
        <v>4.5</v>
      </c>
      <c r="J64" s="127">
        <f t="shared" si="10"/>
        <v>1691.7120000000002</v>
      </c>
      <c r="K64" s="129"/>
    </row>
    <row r="65" spans="1:11" s="126" customFormat="1" x14ac:dyDescent="0.2">
      <c r="A65" s="28">
        <f>IF(F65&lt;&gt;"",1+MAX($A$7:A64),"")</f>
        <v>55</v>
      </c>
      <c r="B65" s="43" t="s">
        <v>391</v>
      </c>
      <c r="C65" s="96">
        <v>97</v>
      </c>
      <c r="D65" s="121">
        <v>0.1</v>
      </c>
      <c r="E65" s="96">
        <f t="shared" si="9"/>
        <v>106.7</v>
      </c>
      <c r="F65" s="23" t="s">
        <v>153</v>
      </c>
      <c r="G65" s="140">
        <v>4.5</v>
      </c>
      <c r="H65" s="140">
        <v>10.5</v>
      </c>
      <c r="I65" s="128">
        <f t="shared" si="5"/>
        <v>15</v>
      </c>
      <c r="J65" s="127">
        <f t="shared" si="10"/>
        <v>1600.5</v>
      </c>
      <c r="K65" s="129"/>
    </row>
    <row r="66" spans="1:11" s="126" customFormat="1" x14ac:dyDescent="0.2">
      <c r="A66" s="28">
        <f>IF(F66&lt;&gt;"",1+MAX($A$7:A65),"")</f>
        <v>56</v>
      </c>
      <c r="B66" s="43" t="s">
        <v>392</v>
      </c>
      <c r="C66" s="96">
        <v>22</v>
      </c>
      <c r="D66" s="121">
        <v>0.1</v>
      </c>
      <c r="E66" s="96">
        <f t="shared" si="9"/>
        <v>24.200000000000003</v>
      </c>
      <c r="F66" s="23" t="s">
        <v>153</v>
      </c>
      <c r="G66" s="140">
        <v>4.2</v>
      </c>
      <c r="H66" s="140">
        <v>9.8000000000000007</v>
      </c>
      <c r="I66" s="128">
        <f t="shared" si="5"/>
        <v>14</v>
      </c>
      <c r="J66" s="127">
        <f t="shared" si="10"/>
        <v>338.80000000000007</v>
      </c>
      <c r="K66" s="129"/>
    </row>
    <row r="67" spans="1:11" s="126" customFormat="1" x14ac:dyDescent="0.2">
      <c r="A67" s="28">
        <f>IF(F67&lt;&gt;"",1+MAX($A$7:A66),"")</f>
        <v>57</v>
      </c>
      <c r="B67" s="43" t="s">
        <v>400</v>
      </c>
      <c r="C67" s="96">
        <v>27</v>
      </c>
      <c r="D67" s="121">
        <v>0</v>
      </c>
      <c r="E67" s="96">
        <f t="shared" si="9"/>
        <v>27</v>
      </c>
      <c r="F67" s="23" t="s">
        <v>106</v>
      </c>
      <c r="G67" s="140">
        <v>37.5</v>
      </c>
      <c r="H67" s="140">
        <v>87.5</v>
      </c>
      <c r="I67" s="128">
        <f t="shared" si="5"/>
        <v>125</v>
      </c>
      <c r="J67" s="127">
        <f t="shared" si="10"/>
        <v>3375</v>
      </c>
      <c r="K67" s="129"/>
    </row>
    <row r="68" spans="1:11" s="126" customFormat="1" x14ac:dyDescent="0.2">
      <c r="A68" s="28">
        <f>IF(F68&lt;&gt;"",1+MAX($A$7:A67),"")</f>
        <v>58</v>
      </c>
      <c r="B68" s="43" t="s">
        <v>401</v>
      </c>
      <c r="C68" s="96">
        <v>60</v>
      </c>
      <c r="D68" s="121">
        <v>0</v>
      </c>
      <c r="E68" s="96">
        <f t="shared" si="9"/>
        <v>60</v>
      </c>
      <c r="F68" s="23" t="s">
        <v>106</v>
      </c>
      <c r="G68" s="140">
        <v>19.5</v>
      </c>
      <c r="H68" s="140">
        <v>45.5</v>
      </c>
      <c r="I68" s="128">
        <f t="shared" si="5"/>
        <v>65</v>
      </c>
      <c r="J68" s="127">
        <f t="shared" si="10"/>
        <v>3900</v>
      </c>
      <c r="K68" s="129"/>
    </row>
    <row r="69" spans="1:11" s="126" customFormat="1" x14ac:dyDescent="0.2">
      <c r="A69" s="28">
        <f>IF(F69&lt;&gt;"",1+MAX($A$7:A68),"")</f>
        <v>59</v>
      </c>
      <c r="B69" s="43" t="s">
        <v>207</v>
      </c>
      <c r="C69" s="96">
        <v>1418</v>
      </c>
      <c r="D69" s="121">
        <v>0.1</v>
      </c>
      <c r="E69" s="96">
        <f t="shared" si="9"/>
        <v>1559.8000000000002</v>
      </c>
      <c r="F69" s="23" t="s">
        <v>21</v>
      </c>
      <c r="G69" s="140">
        <v>1.5</v>
      </c>
      <c r="H69" s="140">
        <v>3.5</v>
      </c>
      <c r="I69" s="128">
        <f t="shared" si="5"/>
        <v>5</v>
      </c>
      <c r="J69" s="127">
        <f t="shared" si="10"/>
        <v>7799.0000000000009</v>
      </c>
      <c r="K69" s="129"/>
    </row>
    <row r="70" spans="1:11" s="126" customFormat="1" x14ac:dyDescent="0.2">
      <c r="A70" s="28">
        <f>IF(F70&lt;&gt;"",1+MAX($A$7:A69),"")</f>
        <v>60</v>
      </c>
      <c r="B70" s="43" t="s">
        <v>305</v>
      </c>
      <c r="C70" s="96">
        <v>1964</v>
      </c>
      <c r="D70" s="121">
        <v>0.1</v>
      </c>
      <c r="E70" s="96">
        <f t="shared" si="9"/>
        <v>2160.4</v>
      </c>
      <c r="F70" s="23" t="s">
        <v>21</v>
      </c>
      <c r="G70" s="140">
        <v>2.1</v>
      </c>
      <c r="H70" s="140">
        <v>4.9000000000000004</v>
      </c>
      <c r="I70" s="128">
        <f t="shared" si="5"/>
        <v>7</v>
      </c>
      <c r="J70" s="127">
        <f t="shared" si="10"/>
        <v>15122.800000000001</v>
      </c>
      <c r="K70" s="129"/>
    </row>
    <row r="71" spans="1:11" s="126" customFormat="1" x14ac:dyDescent="0.2">
      <c r="A71" s="28">
        <f>IF(F71&lt;&gt;"",1+MAX($A$7:A70),"")</f>
        <v>61</v>
      </c>
      <c r="B71" s="43" t="s">
        <v>306</v>
      </c>
      <c r="C71" s="96">
        <v>121.02200000000001</v>
      </c>
      <c r="D71" s="121">
        <v>0.1</v>
      </c>
      <c r="E71" s="96">
        <f t="shared" si="9"/>
        <v>133.12420000000003</v>
      </c>
      <c r="F71" s="23" t="s">
        <v>21</v>
      </c>
      <c r="G71" s="140">
        <v>2.25</v>
      </c>
      <c r="H71" s="140">
        <v>5.25</v>
      </c>
      <c r="I71" s="128">
        <f t="shared" si="5"/>
        <v>7.5</v>
      </c>
      <c r="J71" s="127">
        <f t="shared" si="10"/>
        <v>998.43150000000026</v>
      </c>
      <c r="K71" s="129"/>
    </row>
    <row r="72" spans="1:11" s="126" customFormat="1" x14ac:dyDescent="0.2">
      <c r="A72" s="28">
        <f>IF(F72&lt;&gt;"",1+MAX($A$7:A71),"")</f>
        <v>62</v>
      </c>
      <c r="B72" s="43" t="s">
        <v>308</v>
      </c>
      <c r="C72" s="96">
        <v>60</v>
      </c>
      <c r="D72" s="121">
        <v>0.1</v>
      </c>
      <c r="E72" s="96">
        <f t="shared" si="9"/>
        <v>66</v>
      </c>
      <c r="F72" s="23" t="s">
        <v>153</v>
      </c>
      <c r="G72" s="140">
        <v>1.7999999999999998</v>
      </c>
      <c r="H72" s="140">
        <v>4.2</v>
      </c>
      <c r="I72" s="128">
        <f t="shared" si="5"/>
        <v>6</v>
      </c>
      <c r="J72" s="127">
        <f t="shared" si="10"/>
        <v>396</v>
      </c>
      <c r="K72" s="129"/>
    </row>
    <row r="73" spans="1:11" s="126" customFormat="1" x14ac:dyDescent="0.2">
      <c r="A73" s="28">
        <f>IF(F73&lt;&gt;"",1+MAX($A$7:A72),"")</f>
        <v>63</v>
      </c>
      <c r="B73" s="43" t="s">
        <v>307</v>
      </c>
      <c r="C73" s="96">
        <v>80</v>
      </c>
      <c r="D73" s="121">
        <v>0.1</v>
      </c>
      <c r="E73" s="96">
        <f t="shared" si="9"/>
        <v>88</v>
      </c>
      <c r="F73" s="23" t="s">
        <v>153</v>
      </c>
      <c r="G73" s="140">
        <v>2.4</v>
      </c>
      <c r="H73" s="140">
        <v>5.6</v>
      </c>
      <c r="I73" s="128">
        <f t="shared" si="5"/>
        <v>8</v>
      </c>
      <c r="J73" s="127">
        <f t="shared" si="10"/>
        <v>704</v>
      </c>
      <c r="K73" s="129"/>
    </row>
    <row r="74" spans="1:11" s="151" customFormat="1" x14ac:dyDescent="0.2">
      <c r="A74" s="146" t="str">
        <f>IF(F74&lt;&gt;"",1+MAX($A$7:A73),"")</f>
        <v/>
      </c>
      <c r="B74" s="147" t="s">
        <v>185</v>
      </c>
      <c r="C74" s="148"/>
      <c r="D74" s="148"/>
      <c r="E74" s="148"/>
      <c r="F74" s="149"/>
      <c r="G74" s="149"/>
      <c r="H74" s="149"/>
      <c r="I74" s="147"/>
      <c r="J74" s="147"/>
      <c r="K74" s="150">
        <f>SUM(J75:J105)</f>
        <v>101894.0322</v>
      </c>
    </row>
    <row r="75" spans="1:11" s="126" customFormat="1" x14ac:dyDescent="0.2">
      <c r="A75" s="28">
        <f>IF(F75&lt;&gt;"",1+MAX($A$7:A74),"")</f>
        <v>64</v>
      </c>
      <c r="B75" s="43" t="s">
        <v>186</v>
      </c>
      <c r="C75" s="96">
        <v>3159.8020000000001</v>
      </c>
      <c r="D75" s="121">
        <v>0.1</v>
      </c>
      <c r="E75" s="96">
        <f t="shared" ref="E75:E96" si="13">C75*(1+D75)</f>
        <v>3475.7822000000006</v>
      </c>
      <c r="F75" s="23" t="s">
        <v>21</v>
      </c>
      <c r="G75" s="140">
        <v>1.2249999999999999</v>
      </c>
      <c r="H75" s="140">
        <v>2.2750000000000004</v>
      </c>
      <c r="I75" s="128">
        <f>G75+H75</f>
        <v>3.5</v>
      </c>
      <c r="J75" s="127">
        <f t="shared" ref="J75:J96" si="14">I75*E75</f>
        <v>12165.237700000001</v>
      </c>
      <c r="K75" s="129"/>
    </row>
    <row r="76" spans="1:11" s="126" customFormat="1" x14ac:dyDescent="0.2">
      <c r="A76" s="28">
        <f>IF(F76&lt;&gt;"",1+MAX($A$7:A75),"")</f>
        <v>65</v>
      </c>
      <c r="B76" s="43" t="s">
        <v>187</v>
      </c>
      <c r="C76" s="96">
        <v>3718</v>
      </c>
      <c r="D76" s="121">
        <v>0.1</v>
      </c>
      <c r="E76" s="96">
        <f t="shared" si="13"/>
        <v>4089.8</v>
      </c>
      <c r="F76" s="23" t="s">
        <v>21</v>
      </c>
      <c r="G76" s="140">
        <v>1.4</v>
      </c>
      <c r="H76" s="140">
        <v>2.6</v>
      </c>
      <c r="I76" s="128">
        <f t="shared" ref="I76:I79" si="15">G76+H76</f>
        <v>4</v>
      </c>
      <c r="J76" s="127">
        <f t="shared" si="14"/>
        <v>16359.2</v>
      </c>
      <c r="K76" s="129"/>
    </row>
    <row r="77" spans="1:11" s="126" customFormat="1" x14ac:dyDescent="0.2">
      <c r="A77" s="28">
        <f>IF(F77&lt;&gt;"",1+MAX($A$7:A76),"")</f>
        <v>66</v>
      </c>
      <c r="B77" s="43" t="s">
        <v>317</v>
      </c>
      <c r="C77" s="96">
        <v>3218</v>
      </c>
      <c r="D77" s="121">
        <v>0.1</v>
      </c>
      <c r="E77" s="96">
        <f t="shared" si="13"/>
        <v>3539.8</v>
      </c>
      <c r="F77" s="23" t="s">
        <v>21</v>
      </c>
      <c r="G77" s="140">
        <v>1.2249999999999999</v>
      </c>
      <c r="H77" s="140">
        <v>2.2750000000000004</v>
      </c>
      <c r="I77" s="128">
        <f t="shared" si="15"/>
        <v>3.5</v>
      </c>
      <c r="J77" s="127">
        <f t="shared" si="14"/>
        <v>12389.300000000001</v>
      </c>
      <c r="K77" s="129"/>
    </row>
    <row r="78" spans="1:11" s="126" customFormat="1" x14ac:dyDescent="0.2">
      <c r="A78" s="28">
        <f>IF(F78&lt;&gt;"",1+MAX($A$7:A77),"")</f>
        <v>67</v>
      </c>
      <c r="B78" s="43" t="s">
        <v>395</v>
      </c>
      <c r="C78" s="96">
        <v>45</v>
      </c>
      <c r="D78" s="121">
        <v>0.1</v>
      </c>
      <c r="E78" s="96">
        <f>C78*(1+D78)</f>
        <v>49.500000000000007</v>
      </c>
      <c r="F78" s="23" t="s">
        <v>396</v>
      </c>
      <c r="G78" s="140">
        <v>70</v>
      </c>
      <c r="H78" s="140">
        <v>130</v>
      </c>
      <c r="I78" s="128">
        <f t="shared" si="15"/>
        <v>200</v>
      </c>
      <c r="J78" s="127">
        <f>I78*E78</f>
        <v>9900.0000000000018</v>
      </c>
      <c r="K78" s="129"/>
    </row>
    <row r="79" spans="1:11" s="126" customFormat="1" x14ac:dyDescent="0.2">
      <c r="A79" s="28">
        <f>IF(F79&lt;&gt;"",1+MAX($A$7:A78),"")</f>
        <v>68</v>
      </c>
      <c r="B79" s="43" t="s">
        <v>397</v>
      </c>
      <c r="C79" s="96">
        <v>35</v>
      </c>
      <c r="D79" s="121">
        <v>0.1</v>
      </c>
      <c r="E79" s="96">
        <f>C79*(1+D79)</f>
        <v>38.5</v>
      </c>
      <c r="F79" s="23" t="s">
        <v>153</v>
      </c>
      <c r="G79" s="140">
        <v>3.5</v>
      </c>
      <c r="H79" s="140">
        <v>6.5</v>
      </c>
      <c r="I79" s="128">
        <f t="shared" si="15"/>
        <v>10</v>
      </c>
      <c r="J79" s="127">
        <f>I79*E79</f>
        <v>385</v>
      </c>
      <c r="K79" s="129"/>
    </row>
    <row r="80" spans="1:11" s="126" customFormat="1" x14ac:dyDescent="0.2">
      <c r="A80" s="28" t="str">
        <f>IF(F80&lt;&gt;"",1+MAX($A$7:A79),"")</f>
        <v/>
      </c>
      <c r="B80" s="135" t="s">
        <v>311</v>
      </c>
      <c r="C80" s="96"/>
      <c r="D80" s="121"/>
      <c r="E80" s="96"/>
      <c r="F80" s="23"/>
      <c r="G80" s="23"/>
      <c r="H80" s="23"/>
      <c r="I80" s="128"/>
      <c r="J80" s="127"/>
      <c r="K80" s="129"/>
    </row>
    <row r="81" spans="1:11" s="126" customFormat="1" x14ac:dyDescent="0.2">
      <c r="A81" s="28">
        <f>IF(F81&lt;&gt;"",1+MAX($A$7:A80),"")</f>
        <v>69</v>
      </c>
      <c r="B81" s="43" t="s">
        <v>208</v>
      </c>
      <c r="C81" s="96">
        <v>10.48</v>
      </c>
      <c r="D81" s="121">
        <v>0.1</v>
      </c>
      <c r="E81" s="96">
        <f t="shared" si="13"/>
        <v>11.528000000000002</v>
      </c>
      <c r="F81" s="23" t="s">
        <v>153</v>
      </c>
      <c r="G81" s="140">
        <v>1.575</v>
      </c>
      <c r="H81" s="140">
        <v>2.9249999999999998</v>
      </c>
      <c r="I81" s="128">
        <f>G81+H81</f>
        <v>4.5</v>
      </c>
      <c r="J81" s="127">
        <f t="shared" si="14"/>
        <v>51.876000000000012</v>
      </c>
      <c r="K81" s="129"/>
    </row>
    <row r="82" spans="1:11" s="126" customFormat="1" x14ac:dyDescent="0.2">
      <c r="A82" s="28">
        <f>IF(F82&lt;&gt;"",1+MAX($A$7:A81),"")</f>
        <v>70</v>
      </c>
      <c r="B82" s="43" t="s">
        <v>209</v>
      </c>
      <c r="C82" s="96">
        <v>16.25</v>
      </c>
      <c r="D82" s="121">
        <v>0.1</v>
      </c>
      <c r="E82" s="96">
        <f t="shared" si="13"/>
        <v>17.875</v>
      </c>
      <c r="F82" s="23" t="s">
        <v>153</v>
      </c>
      <c r="G82" s="140">
        <v>1.9249999999999998</v>
      </c>
      <c r="H82" s="140">
        <v>3.5750000000000002</v>
      </c>
      <c r="I82" s="128">
        <f t="shared" ref="I82:I98" si="16">G82+H82</f>
        <v>5.5</v>
      </c>
      <c r="J82" s="127">
        <f t="shared" si="14"/>
        <v>98.3125</v>
      </c>
      <c r="K82" s="129"/>
    </row>
    <row r="83" spans="1:11" s="126" customFormat="1" x14ac:dyDescent="0.2">
      <c r="A83" s="28">
        <f>IF(F83&lt;&gt;"",1+MAX($A$7:A82),"")</f>
        <v>71</v>
      </c>
      <c r="B83" s="43" t="s">
        <v>210</v>
      </c>
      <c r="C83" s="96">
        <v>29.18</v>
      </c>
      <c r="D83" s="121">
        <v>0.1</v>
      </c>
      <c r="E83" s="96">
        <f t="shared" si="13"/>
        <v>32.097999999999999</v>
      </c>
      <c r="F83" s="23" t="s">
        <v>153</v>
      </c>
      <c r="G83" s="140">
        <v>1.4</v>
      </c>
      <c r="H83" s="140">
        <v>2.6</v>
      </c>
      <c r="I83" s="128">
        <f t="shared" si="16"/>
        <v>4</v>
      </c>
      <c r="J83" s="127">
        <f t="shared" si="14"/>
        <v>128.392</v>
      </c>
      <c r="K83" s="129"/>
    </row>
    <row r="84" spans="1:11" s="126" customFormat="1" x14ac:dyDescent="0.2">
      <c r="A84" s="28">
        <f>IF(F84&lt;&gt;"",1+MAX($A$7:A83),"")</f>
        <v>72</v>
      </c>
      <c r="B84" s="43" t="s">
        <v>211</v>
      </c>
      <c r="C84" s="96">
        <v>48.15</v>
      </c>
      <c r="D84" s="121">
        <v>0.1</v>
      </c>
      <c r="E84" s="96">
        <f t="shared" si="13"/>
        <v>52.965000000000003</v>
      </c>
      <c r="F84" s="23" t="s">
        <v>153</v>
      </c>
      <c r="G84" s="140">
        <v>2.4499999999999997</v>
      </c>
      <c r="H84" s="140">
        <v>4.5500000000000007</v>
      </c>
      <c r="I84" s="128">
        <f t="shared" si="16"/>
        <v>7</v>
      </c>
      <c r="J84" s="127">
        <f t="shared" si="14"/>
        <v>370.755</v>
      </c>
      <c r="K84" s="129"/>
    </row>
    <row r="85" spans="1:11" s="126" customFormat="1" x14ac:dyDescent="0.2">
      <c r="A85" s="28">
        <f>IF(F85&lt;&gt;"",1+MAX($A$7:A84),"")</f>
        <v>73</v>
      </c>
      <c r="B85" s="43" t="s">
        <v>212</v>
      </c>
      <c r="C85" s="96">
        <v>11.69</v>
      </c>
      <c r="D85" s="121">
        <v>0.1</v>
      </c>
      <c r="E85" s="96">
        <f t="shared" si="13"/>
        <v>12.859</v>
      </c>
      <c r="F85" s="23" t="s">
        <v>153</v>
      </c>
      <c r="G85" s="140">
        <v>2.8</v>
      </c>
      <c r="H85" s="140">
        <v>5.2</v>
      </c>
      <c r="I85" s="128">
        <f t="shared" si="16"/>
        <v>8</v>
      </c>
      <c r="J85" s="127">
        <f t="shared" si="14"/>
        <v>102.872</v>
      </c>
      <c r="K85" s="129"/>
    </row>
    <row r="86" spans="1:11" s="126" customFormat="1" x14ac:dyDescent="0.2">
      <c r="A86" s="28">
        <f>IF(F86&lt;&gt;"",1+MAX($A$7:A85),"")</f>
        <v>74</v>
      </c>
      <c r="B86" s="43" t="s">
        <v>213</v>
      </c>
      <c r="C86" s="96">
        <v>37.119999999999997</v>
      </c>
      <c r="D86" s="121">
        <v>0.1</v>
      </c>
      <c r="E86" s="96">
        <f t="shared" si="13"/>
        <v>40.832000000000001</v>
      </c>
      <c r="F86" s="23" t="s">
        <v>153</v>
      </c>
      <c r="G86" s="140">
        <v>1.75</v>
      </c>
      <c r="H86" s="140">
        <v>3.25</v>
      </c>
      <c r="I86" s="128">
        <f t="shared" si="16"/>
        <v>5</v>
      </c>
      <c r="J86" s="127">
        <f t="shared" si="14"/>
        <v>204.16</v>
      </c>
      <c r="K86" s="129"/>
    </row>
    <row r="87" spans="1:11" s="126" customFormat="1" x14ac:dyDescent="0.2">
      <c r="A87" s="28">
        <f>IF(F87&lt;&gt;"",1+MAX($A$7:A86),"")</f>
        <v>75</v>
      </c>
      <c r="B87" s="43" t="s">
        <v>214</v>
      </c>
      <c r="C87" s="96">
        <v>21.35</v>
      </c>
      <c r="D87" s="121">
        <v>0.1</v>
      </c>
      <c r="E87" s="96">
        <f t="shared" si="13"/>
        <v>23.485000000000003</v>
      </c>
      <c r="F87" s="23" t="s">
        <v>153</v>
      </c>
      <c r="G87" s="140">
        <v>3.15</v>
      </c>
      <c r="H87" s="140">
        <v>5.85</v>
      </c>
      <c r="I87" s="128">
        <f t="shared" si="16"/>
        <v>9</v>
      </c>
      <c r="J87" s="127">
        <f t="shared" si="14"/>
        <v>211.36500000000004</v>
      </c>
      <c r="K87" s="129"/>
    </row>
    <row r="88" spans="1:11" s="126" customFormat="1" x14ac:dyDescent="0.2">
      <c r="A88" s="28">
        <f>IF(F88&lt;&gt;"",1+MAX($A$7:A87),"")</f>
        <v>76</v>
      </c>
      <c r="B88" s="43" t="s">
        <v>215</v>
      </c>
      <c r="C88" s="96">
        <v>11.53</v>
      </c>
      <c r="D88" s="121">
        <v>0.1</v>
      </c>
      <c r="E88" s="96">
        <f t="shared" si="13"/>
        <v>12.683</v>
      </c>
      <c r="F88" s="23" t="s">
        <v>153</v>
      </c>
      <c r="G88" s="140">
        <v>3.5</v>
      </c>
      <c r="H88" s="140">
        <v>6.5</v>
      </c>
      <c r="I88" s="128">
        <f t="shared" si="16"/>
        <v>10</v>
      </c>
      <c r="J88" s="127">
        <f t="shared" si="14"/>
        <v>126.83</v>
      </c>
      <c r="K88" s="129"/>
    </row>
    <row r="89" spans="1:11" s="126" customFormat="1" x14ac:dyDescent="0.2">
      <c r="A89" s="28">
        <f>IF(F89&lt;&gt;"",1+MAX($A$7:A88),"")</f>
        <v>77</v>
      </c>
      <c r="B89" s="43" t="s">
        <v>216</v>
      </c>
      <c r="C89" s="96">
        <v>45.75</v>
      </c>
      <c r="D89" s="121">
        <v>0.1</v>
      </c>
      <c r="E89" s="96">
        <f t="shared" si="13"/>
        <v>50.325000000000003</v>
      </c>
      <c r="F89" s="23" t="s">
        <v>153</v>
      </c>
      <c r="G89" s="140">
        <v>1.4</v>
      </c>
      <c r="H89" s="140">
        <v>2.6</v>
      </c>
      <c r="I89" s="128">
        <f t="shared" si="16"/>
        <v>4</v>
      </c>
      <c r="J89" s="127">
        <f t="shared" si="14"/>
        <v>201.3</v>
      </c>
      <c r="K89" s="129"/>
    </row>
    <row r="90" spans="1:11" s="126" customFormat="1" x14ac:dyDescent="0.2">
      <c r="A90" s="28">
        <f>IF(F90&lt;&gt;"",1+MAX($A$7:A89),"")</f>
        <v>78</v>
      </c>
      <c r="B90" s="43" t="s">
        <v>217</v>
      </c>
      <c r="C90" s="96">
        <v>24.75</v>
      </c>
      <c r="D90" s="121">
        <v>0.1</v>
      </c>
      <c r="E90" s="96">
        <f t="shared" si="13"/>
        <v>27.225000000000001</v>
      </c>
      <c r="F90" s="23" t="s">
        <v>153</v>
      </c>
      <c r="G90" s="140">
        <v>1.54</v>
      </c>
      <c r="H90" s="140">
        <v>2.8600000000000003</v>
      </c>
      <c r="I90" s="128">
        <f t="shared" si="16"/>
        <v>4.4000000000000004</v>
      </c>
      <c r="J90" s="127">
        <f t="shared" si="14"/>
        <v>119.79000000000002</v>
      </c>
      <c r="K90" s="129"/>
    </row>
    <row r="91" spans="1:11" s="126" customFormat="1" x14ac:dyDescent="0.2">
      <c r="A91" s="28">
        <f>IF(F91&lt;&gt;"",1+MAX($A$7:A90),"")</f>
        <v>79</v>
      </c>
      <c r="B91" s="43" t="s">
        <v>218</v>
      </c>
      <c r="C91" s="96">
        <v>96.3</v>
      </c>
      <c r="D91" s="121">
        <v>0.1</v>
      </c>
      <c r="E91" s="96">
        <f t="shared" si="13"/>
        <v>105.93</v>
      </c>
      <c r="F91" s="23" t="s">
        <v>153</v>
      </c>
      <c r="G91" s="140">
        <v>1.2249999999999999</v>
      </c>
      <c r="H91" s="140">
        <v>2.2750000000000004</v>
      </c>
      <c r="I91" s="128">
        <f t="shared" si="16"/>
        <v>3.5</v>
      </c>
      <c r="J91" s="127">
        <f t="shared" si="14"/>
        <v>370.755</v>
      </c>
      <c r="K91" s="129"/>
    </row>
    <row r="92" spans="1:11" s="126" customFormat="1" x14ac:dyDescent="0.2">
      <c r="A92" s="28">
        <f>IF(F92&lt;&gt;"",1+MAX($A$7:A91),"")</f>
        <v>80</v>
      </c>
      <c r="B92" s="43" t="s">
        <v>219</v>
      </c>
      <c r="C92" s="96">
        <v>11</v>
      </c>
      <c r="D92" s="121">
        <v>0.1</v>
      </c>
      <c r="E92" s="96">
        <f t="shared" si="13"/>
        <v>12.100000000000001</v>
      </c>
      <c r="F92" s="23" t="s">
        <v>153</v>
      </c>
      <c r="G92" s="140">
        <v>1.4</v>
      </c>
      <c r="H92" s="140">
        <v>2.6</v>
      </c>
      <c r="I92" s="128">
        <f t="shared" si="16"/>
        <v>4</v>
      </c>
      <c r="J92" s="127">
        <f t="shared" si="14"/>
        <v>48.400000000000006</v>
      </c>
      <c r="K92" s="129"/>
    </row>
    <row r="93" spans="1:11" s="126" customFormat="1" x14ac:dyDescent="0.2">
      <c r="A93" s="28">
        <f>IF(F93&lt;&gt;"",1+MAX($A$7:A92),"")</f>
        <v>81</v>
      </c>
      <c r="B93" s="43" t="s">
        <v>213</v>
      </c>
      <c r="C93" s="96">
        <v>48.45</v>
      </c>
      <c r="D93" s="121">
        <v>0.1</v>
      </c>
      <c r="E93" s="96">
        <f t="shared" si="13"/>
        <v>53.295000000000009</v>
      </c>
      <c r="F93" s="23" t="s">
        <v>153</v>
      </c>
      <c r="G93" s="140">
        <v>1.75</v>
      </c>
      <c r="H93" s="140">
        <v>3.25</v>
      </c>
      <c r="I93" s="128">
        <f t="shared" si="16"/>
        <v>5</v>
      </c>
      <c r="J93" s="127">
        <f t="shared" si="14"/>
        <v>266.47500000000002</v>
      </c>
      <c r="K93" s="129"/>
    </row>
    <row r="94" spans="1:11" s="126" customFormat="1" x14ac:dyDescent="0.2">
      <c r="A94" s="28">
        <f>IF(F94&lt;&gt;"",1+MAX($A$7:A93),"")</f>
        <v>82</v>
      </c>
      <c r="B94" s="43" t="s">
        <v>312</v>
      </c>
      <c r="C94" s="96">
        <v>4.6399999999999997</v>
      </c>
      <c r="D94" s="121">
        <v>0.1</v>
      </c>
      <c r="E94" s="96">
        <f t="shared" si="13"/>
        <v>5.1040000000000001</v>
      </c>
      <c r="F94" s="23" t="s">
        <v>153</v>
      </c>
      <c r="G94" s="140">
        <v>1.0499999999999998</v>
      </c>
      <c r="H94" s="140">
        <v>1.9500000000000002</v>
      </c>
      <c r="I94" s="128">
        <f t="shared" si="16"/>
        <v>3</v>
      </c>
      <c r="J94" s="127">
        <f t="shared" si="14"/>
        <v>15.312000000000001</v>
      </c>
      <c r="K94" s="129"/>
    </row>
    <row r="95" spans="1:11" s="126" customFormat="1" x14ac:dyDescent="0.2">
      <c r="A95" s="28">
        <f>IF(F95&lt;&gt;"",1+MAX($A$7:A94),"")</f>
        <v>83</v>
      </c>
      <c r="B95" s="43" t="s">
        <v>313</v>
      </c>
      <c r="C95" s="96">
        <f>120</f>
        <v>120</v>
      </c>
      <c r="D95" s="121">
        <v>0.1</v>
      </c>
      <c r="E95" s="96">
        <f t="shared" si="13"/>
        <v>132</v>
      </c>
      <c r="F95" s="23" t="s">
        <v>153</v>
      </c>
      <c r="G95" s="140">
        <v>2.0999999999999996</v>
      </c>
      <c r="H95" s="140">
        <v>3.9000000000000004</v>
      </c>
      <c r="I95" s="128">
        <f t="shared" si="16"/>
        <v>6</v>
      </c>
      <c r="J95" s="127">
        <f t="shared" si="14"/>
        <v>792</v>
      </c>
      <c r="K95" s="129"/>
    </row>
    <row r="96" spans="1:11" s="126" customFormat="1" x14ac:dyDescent="0.2">
      <c r="A96" s="28">
        <f>IF(F96&lt;&gt;"",1+MAX($A$7:A95),"")</f>
        <v>84</v>
      </c>
      <c r="B96" s="43" t="s">
        <v>316</v>
      </c>
      <c r="C96" s="96">
        <v>420</v>
      </c>
      <c r="D96" s="121">
        <v>0.1</v>
      </c>
      <c r="E96" s="96">
        <f t="shared" si="13"/>
        <v>462.00000000000006</v>
      </c>
      <c r="F96" s="23" t="s">
        <v>153</v>
      </c>
      <c r="G96" s="140">
        <v>2.8</v>
      </c>
      <c r="H96" s="140">
        <v>5.2</v>
      </c>
      <c r="I96" s="128">
        <f t="shared" si="16"/>
        <v>8</v>
      </c>
      <c r="J96" s="127">
        <f t="shared" si="14"/>
        <v>3696.0000000000005</v>
      </c>
      <c r="K96" s="129"/>
    </row>
    <row r="97" spans="1:11" s="126" customFormat="1" x14ac:dyDescent="0.2">
      <c r="A97" s="28">
        <f>IF(F97&lt;&gt;"",1+MAX($A$7:A96),"")</f>
        <v>85</v>
      </c>
      <c r="B97" s="43" t="s">
        <v>314</v>
      </c>
      <c r="C97" s="96">
        <v>210</v>
      </c>
      <c r="D97" s="121">
        <v>0.1</v>
      </c>
      <c r="E97" s="96">
        <f>C97*(1+D97)</f>
        <v>231.00000000000003</v>
      </c>
      <c r="F97" s="23" t="s">
        <v>153</v>
      </c>
      <c r="G97" s="140">
        <v>3.5</v>
      </c>
      <c r="H97" s="140">
        <v>6.5</v>
      </c>
      <c r="I97" s="128">
        <f t="shared" si="16"/>
        <v>10</v>
      </c>
      <c r="J97" s="127">
        <f>I97*E97</f>
        <v>2310.0000000000005</v>
      </c>
      <c r="K97" s="129"/>
    </row>
    <row r="98" spans="1:11" s="126" customFormat="1" x14ac:dyDescent="0.2">
      <c r="A98" s="28">
        <f>IF(F98&lt;&gt;"",1+MAX($A$7:A97),"")</f>
        <v>86</v>
      </c>
      <c r="B98" s="43" t="s">
        <v>315</v>
      </c>
      <c r="C98" s="96">
        <v>30</v>
      </c>
      <c r="D98" s="121">
        <v>0.1</v>
      </c>
      <c r="E98" s="96">
        <f>C98*(1+D98)</f>
        <v>33</v>
      </c>
      <c r="F98" s="23" t="s">
        <v>153</v>
      </c>
      <c r="G98" s="140">
        <v>4.1999999999999993</v>
      </c>
      <c r="H98" s="140">
        <v>7.8000000000000007</v>
      </c>
      <c r="I98" s="128">
        <f t="shared" si="16"/>
        <v>12</v>
      </c>
      <c r="J98" s="127">
        <f>I98*E98</f>
        <v>396</v>
      </c>
      <c r="K98" s="129"/>
    </row>
    <row r="99" spans="1:11" s="126" customFormat="1" x14ac:dyDescent="0.2">
      <c r="A99" s="28" t="str">
        <f>IF(F99&lt;&gt;"",1+MAX($A$7:A98),"")</f>
        <v/>
      </c>
      <c r="B99" s="137" t="s">
        <v>318</v>
      </c>
      <c r="C99" s="96"/>
      <c r="D99" s="121"/>
      <c r="E99" s="96"/>
      <c r="F99" s="23"/>
      <c r="G99" s="23"/>
      <c r="H99" s="23"/>
      <c r="I99" s="128"/>
      <c r="J99" s="127"/>
      <c r="K99" s="129"/>
    </row>
    <row r="100" spans="1:11" s="126" customFormat="1" x14ac:dyDescent="0.2">
      <c r="A100" s="28">
        <f>IF(F100&lt;&gt;"",1+MAX($A$7:A99),"")</f>
        <v>87</v>
      </c>
      <c r="B100" s="43" t="s">
        <v>319</v>
      </c>
      <c r="C100" s="96">
        <v>45</v>
      </c>
      <c r="D100" s="121">
        <v>0.1</v>
      </c>
      <c r="E100" s="96">
        <f t="shared" ref="E100:E105" si="17">C100*(1+D100)</f>
        <v>49.500000000000007</v>
      </c>
      <c r="F100" s="23" t="s">
        <v>153</v>
      </c>
      <c r="G100" s="140">
        <v>43.75</v>
      </c>
      <c r="H100" s="140">
        <v>81.25</v>
      </c>
      <c r="I100" s="128">
        <f>G100+H100</f>
        <v>125</v>
      </c>
      <c r="J100" s="127">
        <f t="shared" ref="J100:J105" si="18">I100*E100</f>
        <v>6187.5000000000009</v>
      </c>
      <c r="K100" s="129"/>
    </row>
    <row r="101" spans="1:11" s="126" customFormat="1" x14ac:dyDescent="0.2">
      <c r="A101" s="28">
        <f>IF(F101&lt;&gt;"",1+MAX($A$7:A100),"")</f>
        <v>88</v>
      </c>
      <c r="B101" s="43" t="s">
        <v>320</v>
      </c>
      <c r="C101" s="96">
        <v>45</v>
      </c>
      <c r="D101" s="121">
        <v>0.1</v>
      </c>
      <c r="E101" s="96">
        <f t="shared" si="17"/>
        <v>49.500000000000007</v>
      </c>
      <c r="F101" s="23" t="s">
        <v>153</v>
      </c>
      <c r="G101" s="140">
        <v>77</v>
      </c>
      <c r="H101" s="140">
        <v>143</v>
      </c>
      <c r="I101" s="128">
        <f t="shared" ref="I101:I105" si="19">G101+H101</f>
        <v>220</v>
      </c>
      <c r="J101" s="127">
        <f t="shared" si="18"/>
        <v>10890.000000000002</v>
      </c>
      <c r="K101" s="129"/>
    </row>
    <row r="102" spans="1:11" s="126" customFormat="1" x14ac:dyDescent="0.2">
      <c r="A102" s="28">
        <f>IF(F102&lt;&gt;"",1+MAX($A$7:A101),"")</f>
        <v>89</v>
      </c>
      <c r="B102" s="43" t="s">
        <v>321</v>
      </c>
      <c r="C102" s="96">
        <v>15</v>
      </c>
      <c r="D102" s="121">
        <v>0.1</v>
      </c>
      <c r="E102" s="96">
        <f t="shared" si="17"/>
        <v>16.5</v>
      </c>
      <c r="F102" s="23" t="s">
        <v>153</v>
      </c>
      <c r="G102" s="140">
        <v>57.749999999999993</v>
      </c>
      <c r="H102" s="140">
        <v>107.25</v>
      </c>
      <c r="I102" s="128">
        <f t="shared" si="19"/>
        <v>165</v>
      </c>
      <c r="J102" s="127">
        <f t="shared" si="18"/>
        <v>2722.5</v>
      </c>
      <c r="K102" s="129"/>
    </row>
    <row r="103" spans="1:11" s="126" customFormat="1" x14ac:dyDescent="0.2">
      <c r="A103" s="28">
        <f>IF(F103&lt;&gt;"",1+MAX($A$7:A102),"")</f>
        <v>90</v>
      </c>
      <c r="B103" s="43" t="s">
        <v>322</v>
      </c>
      <c r="C103" s="96">
        <v>25</v>
      </c>
      <c r="D103" s="121">
        <v>0.1</v>
      </c>
      <c r="E103" s="96">
        <f t="shared" si="17"/>
        <v>27.500000000000004</v>
      </c>
      <c r="F103" s="23" t="s">
        <v>153</v>
      </c>
      <c r="G103" s="140">
        <v>43.75</v>
      </c>
      <c r="H103" s="140">
        <v>81.25</v>
      </c>
      <c r="I103" s="128">
        <f t="shared" si="19"/>
        <v>125</v>
      </c>
      <c r="J103" s="127">
        <f t="shared" si="18"/>
        <v>3437.5000000000005</v>
      </c>
      <c r="K103" s="129"/>
    </row>
    <row r="104" spans="1:11" s="126" customFormat="1" x14ac:dyDescent="0.2">
      <c r="A104" s="28">
        <f>IF(F104&lt;&gt;"",1+MAX($A$7:A103),"")</f>
        <v>91</v>
      </c>
      <c r="B104" s="43" t="s">
        <v>323</v>
      </c>
      <c r="C104" s="96">
        <v>56.6</v>
      </c>
      <c r="D104" s="121">
        <v>0.1</v>
      </c>
      <c r="E104" s="96">
        <f t="shared" si="17"/>
        <v>62.260000000000005</v>
      </c>
      <c r="F104" s="23" t="s">
        <v>153</v>
      </c>
      <c r="G104" s="140">
        <v>77</v>
      </c>
      <c r="H104" s="140">
        <v>143</v>
      </c>
      <c r="I104" s="128">
        <f t="shared" si="19"/>
        <v>220</v>
      </c>
      <c r="J104" s="127">
        <f t="shared" si="18"/>
        <v>13697.2</v>
      </c>
      <c r="K104" s="129"/>
    </row>
    <row r="105" spans="1:11" s="126" customFormat="1" x14ac:dyDescent="0.2">
      <c r="A105" s="28">
        <f>IF(F105&lt;&gt;"",1+MAX($A$7:A104),"")</f>
        <v>92</v>
      </c>
      <c r="B105" s="43" t="s">
        <v>324</v>
      </c>
      <c r="C105" s="96">
        <v>5</v>
      </c>
      <c r="D105" s="121">
        <v>0</v>
      </c>
      <c r="E105" s="96">
        <f t="shared" si="17"/>
        <v>5</v>
      </c>
      <c r="F105" s="23" t="s">
        <v>106</v>
      </c>
      <c r="G105" s="140">
        <v>297.5</v>
      </c>
      <c r="H105" s="140">
        <v>552.5</v>
      </c>
      <c r="I105" s="128">
        <f t="shared" si="19"/>
        <v>850</v>
      </c>
      <c r="J105" s="127">
        <f t="shared" si="18"/>
        <v>4250</v>
      </c>
      <c r="K105" s="129"/>
    </row>
    <row r="106" spans="1:11" s="151" customFormat="1" x14ac:dyDescent="0.2">
      <c r="A106" s="146" t="str">
        <f>IF(F106&lt;&gt;"",1+MAX($A$7:A105),"")</f>
        <v/>
      </c>
      <c r="B106" s="147" t="s">
        <v>173</v>
      </c>
      <c r="C106" s="148"/>
      <c r="D106" s="148"/>
      <c r="E106" s="148"/>
      <c r="F106" s="149"/>
      <c r="G106" s="149"/>
      <c r="H106" s="149"/>
      <c r="I106" s="147"/>
      <c r="J106" s="147"/>
      <c r="K106" s="150">
        <f>SUM(J108:J117)</f>
        <v>115800.64800000002</v>
      </c>
    </row>
    <row r="107" spans="1:11" s="126" customFormat="1" x14ac:dyDescent="0.2">
      <c r="A107" s="28" t="str">
        <f>IF(F107&lt;&gt;"",1+MAX($A$7:A106),"")</f>
        <v/>
      </c>
      <c r="B107" s="165" t="s">
        <v>174</v>
      </c>
      <c r="C107" s="96"/>
      <c r="D107" s="121"/>
      <c r="E107" s="96"/>
      <c r="F107" s="23"/>
      <c r="G107" s="23"/>
      <c r="H107" s="23"/>
      <c r="I107" s="128"/>
      <c r="J107" s="127"/>
      <c r="K107" s="129"/>
    </row>
    <row r="108" spans="1:11" s="126" customFormat="1" x14ac:dyDescent="0.2">
      <c r="A108" s="28">
        <f>IF(F108&lt;&gt;"",1+MAX($A$7:A107),"")</f>
        <v>93</v>
      </c>
      <c r="B108" s="43" t="s">
        <v>175</v>
      </c>
      <c r="C108" s="96">
        <v>3633</v>
      </c>
      <c r="D108" s="121">
        <v>0.1</v>
      </c>
      <c r="E108" s="96">
        <f t="shared" ref="E108:E115" si="20">C108*(1+D108)</f>
        <v>3996.3</v>
      </c>
      <c r="F108" s="23" t="s">
        <v>21</v>
      </c>
      <c r="G108" s="140">
        <v>1.7625</v>
      </c>
      <c r="H108" s="140">
        <v>3.2374999999999998</v>
      </c>
      <c r="I108" s="128">
        <f>G108+H108</f>
        <v>5</v>
      </c>
      <c r="J108" s="127">
        <f t="shared" ref="J108:J115" si="21">I108*E108</f>
        <v>19981.5</v>
      </c>
      <c r="K108" s="129"/>
    </row>
    <row r="109" spans="1:11" s="126" customFormat="1" x14ac:dyDescent="0.2">
      <c r="A109" s="28">
        <f>IF(F109&lt;&gt;"",1+MAX($A$7:A108),"")</f>
        <v>94</v>
      </c>
      <c r="B109" s="43" t="s">
        <v>176</v>
      </c>
      <c r="C109" s="96">
        <v>3633</v>
      </c>
      <c r="D109" s="121">
        <v>0.1</v>
      </c>
      <c r="E109" s="96">
        <f t="shared" si="20"/>
        <v>3996.3</v>
      </c>
      <c r="F109" s="23" t="s">
        <v>21</v>
      </c>
      <c r="G109" s="140">
        <v>1.41</v>
      </c>
      <c r="H109" s="140">
        <v>2.59</v>
      </c>
      <c r="I109" s="128">
        <f t="shared" ref="I109:I117" si="22">G109+H109</f>
        <v>4</v>
      </c>
      <c r="J109" s="127">
        <f t="shared" si="21"/>
        <v>15985.2</v>
      </c>
      <c r="K109" s="129"/>
    </row>
    <row r="110" spans="1:11" s="126" customFormat="1" x14ac:dyDescent="0.2">
      <c r="A110" s="28">
        <f>IF(F110&lt;&gt;"",1+MAX($A$7:A109),"")</f>
        <v>95</v>
      </c>
      <c r="B110" s="43" t="s">
        <v>177</v>
      </c>
      <c r="C110" s="96">
        <v>3633</v>
      </c>
      <c r="D110" s="121">
        <v>0.1</v>
      </c>
      <c r="E110" s="96">
        <f t="shared" si="20"/>
        <v>3996.3</v>
      </c>
      <c r="F110" s="23" t="s">
        <v>21</v>
      </c>
      <c r="G110" s="140">
        <v>0.70499999999999996</v>
      </c>
      <c r="H110" s="140">
        <v>1.2949999999999999</v>
      </c>
      <c r="I110" s="128">
        <f t="shared" si="22"/>
        <v>2</v>
      </c>
      <c r="J110" s="127">
        <f t="shared" si="21"/>
        <v>7992.6</v>
      </c>
      <c r="K110" s="129"/>
    </row>
    <row r="111" spans="1:11" s="126" customFormat="1" x14ac:dyDescent="0.2">
      <c r="A111" s="28">
        <f>IF(F111&lt;&gt;"",1+MAX($A$7:A110),"")</f>
        <v>96</v>
      </c>
      <c r="B111" s="43" t="s">
        <v>178</v>
      </c>
      <c r="C111" s="96">
        <v>3633</v>
      </c>
      <c r="D111" s="121">
        <v>0.1</v>
      </c>
      <c r="E111" s="96">
        <f t="shared" si="20"/>
        <v>3996.3</v>
      </c>
      <c r="F111" s="23" t="s">
        <v>21</v>
      </c>
      <c r="G111" s="140">
        <v>0.35249999999999998</v>
      </c>
      <c r="H111" s="140">
        <v>0.64749999999999996</v>
      </c>
      <c r="I111" s="128">
        <f t="shared" si="22"/>
        <v>1</v>
      </c>
      <c r="J111" s="127">
        <f t="shared" si="21"/>
        <v>3996.3</v>
      </c>
      <c r="K111" s="129"/>
    </row>
    <row r="112" spans="1:11" s="126" customFormat="1" x14ac:dyDescent="0.2">
      <c r="A112" s="28">
        <f>IF(F112&lt;&gt;"",1+MAX($A$7:A111),"")</f>
        <v>97</v>
      </c>
      <c r="B112" s="43" t="s">
        <v>179</v>
      </c>
      <c r="C112" s="96">
        <v>3633</v>
      </c>
      <c r="D112" s="121">
        <v>0.1</v>
      </c>
      <c r="E112" s="96">
        <f t="shared" si="20"/>
        <v>3996.3</v>
      </c>
      <c r="F112" s="23" t="s">
        <v>21</v>
      </c>
      <c r="G112" s="140">
        <v>0.35249999999999998</v>
      </c>
      <c r="H112" s="140">
        <v>0.64749999999999996</v>
      </c>
      <c r="I112" s="128">
        <f t="shared" si="22"/>
        <v>1</v>
      </c>
      <c r="J112" s="127">
        <f t="shared" si="21"/>
        <v>3996.3</v>
      </c>
      <c r="K112" s="129"/>
    </row>
    <row r="113" spans="1:11" s="126" customFormat="1" ht="31.5" x14ac:dyDescent="0.2">
      <c r="A113" s="28">
        <f>IF(F113&lt;&gt;"",1+MAX($A$7:A112),"")</f>
        <v>98</v>
      </c>
      <c r="B113" s="43" t="s">
        <v>180</v>
      </c>
      <c r="C113" s="96">
        <v>485</v>
      </c>
      <c r="D113" s="121">
        <v>0.1</v>
      </c>
      <c r="E113" s="96">
        <f t="shared" si="20"/>
        <v>533.5</v>
      </c>
      <c r="F113" s="23" t="s">
        <v>153</v>
      </c>
      <c r="G113" s="140">
        <v>0.52874999999999994</v>
      </c>
      <c r="H113" s="140">
        <v>0.97125000000000006</v>
      </c>
      <c r="I113" s="128">
        <f t="shared" si="22"/>
        <v>1.5</v>
      </c>
      <c r="J113" s="127">
        <f t="shared" si="21"/>
        <v>800.25</v>
      </c>
      <c r="K113" s="129"/>
    </row>
    <row r="114" spans="1:11" s="126" customFormat="1" x14ac:dyDescent="0.2">
      <c r="A114" s="28">
        <f>IF(F114&lt;&gt;"",1+MAX($A$7:A113),"")</f>
        <v>99</v>
      </c>
      <c r="B114" s="43" t="s">
        <v>181</v>
      </c>
      <c r="C114" s="96">
        <v>306.14</v>
      </c>
      <c r="D114" s="121">
        <v>0.1</v>
      </c>
      <c r="E114" s="96">
        <f t="shared" si="20"/>
        <v>336.75400000000002</v>
      </c>
      <c r="F114" s="23" t="s">
        <v>153</v>
      </c>
      <c r="G114" s="140">
        <v>1.5862499999999999</v>
      </c>
      <c r="H114" s="140">
        <v>2.9137500000000003</v>
      </c>
      <c r="I114" s="128">
        <f t="shared" si="22"/>
        <v>4.5</v>
      </c>
      <c r="J114" s="127">
        <f t="shared" si="21"/>
        <v>1515.393</v>
      </c>
      <c r="K114" s="129"/>
    </row>
    <row r="115" spans="1:11" s="126" customFormat="1" x14ac:dyDescent="0.2">
      <c r="A115" s="28">
        <f>IF(F115&lt;&gt;"",1+MAX($A$7:A114),"")</f>
        <v>100</v>
      </c>
      <c r="B115" s="43" t="s">
        <v>182</v>
      </c>
      <c r="C115" s="96">
        <v>6</v>
      </c>
      <c r="D115" s="121">
        <v>0</v>
      </c>
      <c r="E115" s="96">
        <f t="shared" si="20"/>
        <v>6</v>
      </c>
      <c r="F115" s="23" t="s">
        <v>106</v>
      </c>
      <c r="G115" s="140">
        <v>10.574999999999999</v>
      </c>
      <c r="H115" s="140">
        <v>19.425000000000001</v>
      </c>
      <c r="I115" s="128">
        <f t="shared" si="22"/>
        <v>30</v>
      </c>
      <c r="J115" s="127">
        <f t="shared" si="21"/>
        <v>180</v>
      </c>
      <c r="K115" s="129"/>
    </row>
    <row r="116" spans="1:11" s="126" customFormat="1" x14ac:dyDescent="0.2">
      <c r="A116" s="28" t="str">
        <f>IF(F116&lt;&gt;"",1+MAX($A$7:A115),"")</f>
        <v/>
      </c>
      <c r="B116" s="165" t="s">
        <v>183</v>
      </c>
      <c r="C116" s="96"/>
      <c r="D116" s="121"/>
      <c r="E116" s="96"/>
      <c r="F116" s="23"/>
      <c r="G116" s="23"/>
      <c r="H116" s="23"/>
      <c r="I116" s="128"/>
      <c r="J116" s="127"/>
      <c r="K116" s="129"/>
    </row>
    <row r="117" spans="1:11" s="126" customFormat="1" x14ac:dyDescent="0.2">
      <c r="A117" s="28">
        <f>IF(F117&lt;&gt;"",1+MAX($A$7:A116),"")</f>
        <v>101</v>
      </c>
      <c r="B117" s="43" t="s">
        <v>184</v>
      </c>
      <c r="C117" s="96">
        <v>3718.37</v>
      </c>
      <c r="D117" s="121">
        <v>0.1</v>
      </c>
      <c r="E117" s="96">
        <f>C117*(1+D117)</f>
        <v>4090.2070000000003</v>
      </c>
      <c r="F117" s="23" t="s">
        <v>21</v>
      </c>
      <c r="G117" s="140">
        <v>5.2874999999999996</v>
      </c>
      <c r="H117" s="140">
        <v>9.7125000000000004</v>
      </c>
      <c r="I117" s="128">
        <f t="shared" si="22"/>
        <v>15</v>
      </c>
      <c r="J117" s="127">
        <f>I117*E117</f>
        <v>61353.105000000003</v>
      </c>
      <c r="K117" s="129"/>
    </row>
    <row r="118" spans="1:11" s="151" customFormat="1" x14ac:dyDescent="0.2">
      <c r="A118" s="146" t="str">
        <f>IF(F118&lt;&gt;"",1+MAX($A$7:A117),"")</f>
        <v/>
      </c>
      <c r="B118" s="147" t="s">
        <v>103</v>
      </c>
      <c r="C118" s="148"/>
      <c r="D118" s="148"/>
      <c r="E118" s="148"/>
      <c r="F118" s="149"/>
      <c r="G118" s="149"/>
      <c r="H118" s="149"/>
      <c r="I118" s="147"/>
      <c r="J118" s="147"/>
      <c r="K118" s="150">
        <f>SUM(J120:J161)</f>
        <v>81305</v>
      </c>
    </row>
    <row r="119" spans="1:11" s="126" customFormat="1" x14ac:dyDescent="0.2">
      <c r="A119" s="28" t="str">
        <f>IF(F119&lt;&gt;"",1+MAX($A$7:A118),"")</f>
        <v/>
      </c>
      <c r="B119" s="165" t="s">
        <v>104</v>
      </c>
      <c r="C119" s="96"/>
      <c r="D119" s="121"/>
      <c r="E119" s="96"/>
      <c r="F119" s="23"/>
      <c r="G119" s="23"/>
      <c r="H119" s="23"/>
      <c r="I119" s="128"/>
      <c r="J119" s="127"/>
      <c r="K119" s="129"/>
    </row>
    <row r="120" spans="1:11" s="126" customFormat="1" ht="31.5" x14ac:dyDescent="0.2">
      <c r="A120" s="28">
        <f>IF(F120&lt;&gt;"",1+MAX($A$7:A119),"")</f>
        <v>102</v>
      </c>
      <c r="B120" s="43" t="s">
        <v>105</v>
      </c>
      <c r="C120" s="96">
        <v>1</v>
      </c>
      <c r="D120" s="121">
        <v>0</v>
      </c>
      <c r="E120" s="96">
        <f t="shared" ref="E120:E139" si="23">C120*(1+D120)</f>
        <v>1</v>
      </c>
      <c r="F120" s="23" t="s">
        <v>106</v>
      </c>
      <c r="G120" s="140">
        <v>299.625</v>
      </c>
      <c r="H120" s="140">
        <v>550.375</v>
      </c>
      <c r="I120" s="128">
        <f t="shared" ref="I120:I161" si="24">G120+H120</f>
        <v>850</v>
      </c>
      <c r="J120" s="127">
        <f t="shared" ref="J120:J139" si="25">I120*E120</f>
        <v>850</v>
      </c>
      <c r="K120" s="129"/>
    </row>
    <row r="121" spans="1:11" s="126" customFormat="1" ht="31.5" x14ac:dyDescent="0.2">
      <c r="A121" s="28">
        <f>IF(F121&lt;&gt;"",1+MAX($A$7:A120),"")</f>
        <v>103</v>
      </c>
      <c r="B121" s="43" t="s">
        <v>108</v>
      </c>
      <c r="C121" s="96">
        <v>8</v>
      </c>
      <c r="D121" s="121">
        <v>0</v>
      </c>
      <c r="E121" s="96">
        <f t="shared" si="23"/>
        <v>8</v>
      </c>
      <c r="F121" s="23" t="s">
        <v>106</v>
      </c>
      <c r="G121" s="140">
        <v>282</v>
      </c>
      <c r="H121" s="140">
        <v>518</v>
      </c>
      <c r="I121" s="128">
        <f t="shared" si="24"/>
        <v>800</v>
      </c>
      <c r="J121" s="127">
        <f t="shared" si="25"/>
        <v>6400</v>
      </c>
      <c r="K121" s="129"/>
    </row>
    <row r="122" spans="1:11" s="126" customFormat="1" ht="31.5" x14ac:dyDescent="0.2">
      <c r="A122" s="28">
        <f>IF(F122&lt;&gt;"",1+MAX($A$7:A121),"")</f>
        <v>104</v>
      </c>
      <c r="B122" s="43" t="s">
        <v>107</v>
      </c>
      <c r="C122" s="96">
        <v>1</v>
      </c>
      <c r="D122" s="121">
        <v>0</v>
      </c>
      <c r="E122" s="96">
        <f t="shared" si="23"/>
        <v>1</v>
      </c>
      <c r="F122" s="23" t="s">
        <v>106</v>
      </c>
      <c r="G122" s="140">
        <v>334.875</v>
      </c>
      <c r="H122" s="140">
        <v>615.125</v>
      </c>
      <c r="I122" s="128">
        <f t="shared" si="24"/>
        <v>950</v>
      </c>
      <c r="J122" s="127">
        <f t="shared" si="25"/>
        <v>950</v>
      </c>
      <c r="K122" s="129"/>
    </row>
    <row r="123" spans="1:11" s="126" customFormat="1" ht="31.5" x14ac:dyDescent="0.2">
      <c r="A123" s="28">
        <f>IF(F123&lt;&gt;"",1+MAX($A$7:A122),"")</f>
        <v>105</v>
      </c>
      <c r="B123" s="43" t="s">
        <v>109</v>
      </c>
      <c r="C123" s="96">
        <v>3</v>
      </c>
      <c r="D123" s="121">
        <v>0</v>
      </c>
      <c r="E123" s="96">
        <f t="shared" si="23"/>
        <v>3</v>
      </c>
      <c r="F123" s="23" t="s">
        <v>106</v>
      </c>
      <c r="G123" s="140">
        <v>282</v>
      </c>
      <c r="H123" s="140">
        <v>518</v>
      </c>
      <c r="I123" s="128">
        <f t="shared" si="24"/>
        <v>800</v>
      </c>
      <c r="J123" s="127">
        <f t="shared" si="25"/>
        <v>2400</v>
      </c>
      <c r="K123" s="129"/>
    </row>
    <row r="124" spans="1:11" s="126" customFormat="1" ht="31.5" x14ac:dyDescent="0.2">
      <c r="A124" s="28">
        <f>IF(F124&lt;&gt;"",1+MAX($A$7:A123),"")</f>
        <v>106</v>
      </c>
      <c r="B124" s="43" t="s">
        <v>110</v>
      </c>
      <c r="C124" s="96">
        <v>2</v>
      </c>
      <c r="D124" s="121">
        <v>0</v>
      </c>
      <c r="E124" s="96">
        <f t="shared" si="23"/>
        <v>2</v>
      </c>
      <c r="F124" s="23" t="s">
        <v>106</v>
      </c>
      <c r="G124" s="140">
        <v>423</v>
      </c>
      <c r="H124" s="140">
        <v>777</v>
      </c>
      <c r="I124" s="128">
        <f t="shared" si="24"/>
        <v>1200</v>
      </c>
      <c r="J124" s="127">
        <f t="shared" si="25"/>
        <v>2400</v>
      </c>
      <c r="K124" s="129"/>
    </row>
    <row r="125" spans="1:11" s="126" customFormat="1" ht="31.5" x14ac:dyDescent="0.2">
      <c r="A125" s="28">
        <f>IF(F125&lt;&gt;"",1+MAX($A$7:A124),"")</f>
        <v>107</v>
      </c>
      <c r="B125" s="43" t="s">
        <v>111</v>
      </c>
      <c r="C125" s="96">
        <v>1</v>
      </c>
      <c r="D125" s="121">
        <v>0</v>
      </c>
      <c r="E125" s="96">
        <f t="shared" si="23"/>
        <v>1</v>
      </c>
      <c r="F125" s="23" t="s">
        <v>106</v>
      </c>
      <c r="G125" s="140">
        <v>352.5</v>
      </c>
      <c r="H125" s="140">
        <v>647.5</v>
      </c>
      <c r="I125" s="128">
        <f t="shared" si="24"/>
        <v>1000</v>
      </c>
      <c r="J125" s="127">
        <f t="shared" si="25"/>
        <v>1000</v>
      </c>
      <c r="K125" s="129"/>
    </row>
    <row r="126" spans="1:11" s="126" customFormat="1" ht="31.5" x14ac:dyDescent="0.2">
      <c r="A126" s="28">
        <f>IF(F126&lt;&gt;"",1+MAX($A$7:A125),"")</f>
        <v>108</v>
      </c>
      <c r="B126" s="43" t="s">
        <v>112</v>
      </c>
      <c r="C126" s="96">
        <v>4</v>
      </c>
      <c r="D126" s="121">
        <v>0</v>
      </c>
      <c r="E126" s="96">
        <f t="shared" si="23"/>
        <v>4</v>
      </c>
      <c r="F126" s="23" t="s">
        <v>106</v>
      </c>
      <c r="G126" s="140">
        <v>352.5</v>
      </c>
      <c r="H126" s="140">
        <v>647.5</v>
      </c>
      <c r="I126" s="128">
        <f t="shared" si="24"/>
        <v>1000</v>
      </c>
      <c r="J126" s="127">
        <f t="shared" si="25"/>
        <v>4000</v>
      </c>
      <c r="K126" s="129"/>
    </row>
    <row r="127" spans="1:11" s="126" customFormat="1" ht="31.5" x14ac:dyDescent="0.2">
      <c r="A127" s="28">
        <f>IF(F127&lt;&gt;"",1+MAX($A$7:A126),"")</f>
        <v>109</v>
      </c>
      <c r="B127" s="43" t="s">
        <v>113</v>
      </c>
      <c r="C127" s="96">
        <v>1</v>
      </c>
      <c r="D127" s="121">
        <v>0</v>
      </c>
      <c r="E127" s="96">
        <f t="shared" si="23"/>
        <v>1</v>
      </c>
      <c r="F127" s="23" t="s">
        <v>106</v>
      </c>
      <c r="G127" s="140">
        <v>264.375</v>
      </c>
      <c r="H127" s="140">
        <v>485.625</v>
      </c>
      <c r="I127" s="128">
        <f t="shared" si="24"/>
        <v>750</v>
      </c>
      <c r="J127" s="127">
        <f t="shared" si="25"/>
        <v>750</v>
      </c>
      <c r="K127" s="129"/>
    </row>
    <row r="128" spans="1:11" s="126" customFormat="1" ht="31.5" x14ac:dyDescent="0.2">
      <c r="A128" s="28">
        <f>IF(F128&lt;&gt;"",1+MAX($A$7:A127),"")</f>
        <v>110</v>
      </c>
      <c r="B128" s="43" t="s">
        <v>114</v>
      </c>
      <c r="C128" s="96">
        <v>1</v>
      </c>
      <c r="D128" s="121">
        <v>0</v>
      </c>
      <c r="E128" s="96">
        <f t="shared" si="23"/>
        <v>1</v>
      </c>
      <c r="F128" s="23" t="s">
        <v>106</v>
      </c>
      <c r="G128" s="140">
        <v>282</v>
      </c>
      <c r="H128" s="140">
        <v>518</v>
      </c>
      <c r="I128" s="128">
        <f t="shared" si="24"/>
        <v>800</v>
      </c>
      <c r="J128" s="127">
        <f t="shared" si="25"/>
        <v>800</v>
      </c>
      <c r="K128" s="129"/>
    </row>
    <row r="129" spans="1:11" s="126" customFormat="1" ht="31.5" x14ac:dyDescent="0.2">
      <c r="A129" s="28">
        <f>IF(F129&lt;&gt;"",1+MAX($A$7:A128),"")</f>
        <v>111</v>
      </c>
      <c r="B129" s="43" t="s">
        <v>115</v>
      </c>
      <c r="C129" s="96">
        <v>2</v>
      </c>
      <c r="D129" s="121">
        <v>0</v>
      </c>
      <c r="E129" s="96">
        <f t="shared" si="23"/>
        <v>2</v>
      </c>
      <c r="F129" s="23" t="s">
        <v>106</v>
      </c>
      <c r="G129" s="140">
        <v>423</v>
      </c>
      <c r="H129" s="140">
        <v>777</v>
      </c>
      <c r="I129" s="128">
        <f t="shared" si="24"/>
        <v>1200</v>
      </c>
      <c r="J129" s="127">
        <f t="shared" si="25"/>
        <v>2400</v>
      </c>
      <c r="K129" s="129"/>
    </row>
    <row r="130" spans="1:11" s="126" customFormat="1" ht="31.5" x14ac:dyDescent="0.2">
      <c r="A130" s="28">
        <f>IF(F130&lt;&gt;"",1+MAX($A$7:A129),"")</f>
        <v>112</v>
      </c>
      <c r="B130" s="43" t="s">
        <v>116</v>
      </c>
      <c r="C130" s="96">
        <v>6</v>
      </c>
      <c r="D130" s="121">
        <v>0</v>
      </c>
      <c r="E130" s="96">
        <f t="shared" si="23"/>
        <v>6</v>
      </c>
      <c r="F130" s="23" t="s">
        <v>106</v>
      </c>
      <c r="G130" s="140">
        <v>282</v>
      </c>
      <c r="H130" s="140">
        <v>518</v>
      </c>
      <c r="I130" s="128">
        <f t="shared" si="24"/>
        <v>800</v>
      </c>
      <c r="J130" s="127">
        <f t="shared" si="25"/>
        <v>4800</v>
      </c>
      <c r="K130" s="129"/>
    </row>
    <row r="131" spans="1:11" s="126" customFormat="1" ht="31.5" x14ac:dyDescent="0.2">
      <c r="A131" s="28">
        <f>IF(F131&lt;&gt;"",1+MAX($A$7:A130),"")</f>
        <v>113</v>
      </c>
      <c r="B131" s="43" t="s">
        <v>117</v>
      </c>
      <c r="C131" s="96">
        <v>1</v>
      </c>
      <c r="D131" s="121">
        <v>0</v>
      </c>
      <c r="E131" s="96">
        <f t="shared" si="23"/>
        <v>1</v>
      </c>
      <c r="F131" s="23" t="s">
        <v>106</v>
      </c>
      <c r="G131" s="140">
        <v>334.875</v>
      </c>
      <c r="H131" s="140">
        <v>615.125</v>
      </c>
      <c r="I131" s="128">
        <f t="shared" si="24"/>
        <v>950</v>
      </c>
      <c r="J131" s="127">
        <f t="shared" si="25"/>
        <v>950</v>
      </c>
      <c r="K131" s="129"/>
    </row>
    <row r="132" spans="1:11" s="126" customFormat="1" ht="31.5" x14ac:dyDescent="0.2">
      <c r="A132" s="28">
        <f>IF(F132&lt;&gt;"",1+MAX($A$7:A131),"")</f>
        <v>114</v>
      </c>
      <c r="B132" s="43" t="s">
        <v>118</v>
      </c>
      <c r="C132" s="96">
        <v>1</v>
      </c>
      <c r="D132" s="121">
        <v>0</v>
      </c>
      <c r="E132" s="96">
        <f t="shared" si="23"/>
        <v>1</v>
      </c>
      <c r="F132" s="23" t="s">
        <v>106</v>
      </c>
      <c r="G132" s="140">
        <v>352.5</v>
      </c>
      <c r="H132" s="140">
        <v>647.5</v>
      </c>
      <c r="I132" s="128">
        <f t="shared" si="24"/>
        <v>1000</v>
      </c>
      <c r="J132" s="127">
        <f t="shared" si="25"/>
        <v>1000</v>
      </c>
      <c r="K132" s="129"/>
    </row>
    <row r="133" spans="1:11" s="126" customFormat="1" ht="31.5" x14ac:dyDescent="0.2">
      <c r="A133" s="28">
        <f>IF(F133&lt;&gt;"",1+MAX($A$7:A132),"")</f>
        <v>115</v>
      </c>
      <c r="B133" s="43" t="s">
        <v>119</v>
      </c>
      <c r="C133" s="96">
        <v>1</v>
      </c>
      <c r="D133" s="121">
        <v>0</v>
      </c>
      <c r="E133" s="96">
        <f t="shared" si="23"/>
        <v>1</v>
      </c>
      <c r="F133" s="23" t="s">
        <v>106</v>
      </c>
      <c r="G133" s="140">
        <v>634.5</v>
      </c>
      <c r="H133" s="140">
        <v>1165.5</v>
      </c>
      <c r="I133" s="128">
        <f t="shared" si="24"/>
        <v>1800</v>
      </c>
      <c r="J133" s="127">
        <f t="shared" si="25"/>
        <v>1800</v>
      </c>
      <c r="K133" s="129"/>
    </row>
    <row r="134" spans="1:11" s="126" customFormat="1" ht="31.5" x14ac:dyDescent="0.2">
      <c r="A134" s="28">
        <f>IF(F134&lt;&gt;"",1+MAX($A$7:A133),"")</f>
        <v>116</v>
      </c>
      <c r="B134" s="43" t="s">
        <v>120</v>
      </c>
      <c r="C134" s="96">
        <v>1</v>
      </c>
      <c r="D134" s="121">
        <v>0</v>
      </c>
      <c r="E134" s="96">
        <f t="shared" si="23"/>
        <v>1</v>
      </c>
      <c r="F134" s="23" t="s">
        <v>106</v>
      </c>
      <c r="G134" s="140">
        <v>370.125</v>
      </c>
      <c r="H134" s="140">
        <v>679.875</v>
      </c>
      <c r="I134" s="128">
        <f t="shared" si="24"/>
        <v>1050</v>
      </c>
      <c r="J134" s="127">
        <f t="shared" si="25"/>
        <v>1050</v>
      </c>
      <c r="K134" s="129"/>
    </row>
    <row r="135" spans="1:11" s="126" customFormat="1" ht="31.5" x14ac:dyDescent="0.2">
      <c r="A135" s="28">
        <f>IF(F135&lt;&gt;"",1+MAX($A$7:A134),"")</f>
        <v>117</v>
      </c>
      <c r="B135" s="43" t="s">
        <v>121</v>
      </c>
      <c r="C135" s="96">
        <v>2</v>
      </c>
      <c r="D135" s="121">
        <v>0</v>
      </c>
      <c r="E135" s="96">
        <f t="shared" si="23"/>
        <v>2</v>
      </c>
      <c r="F135" s="23" t="s">
        <v>106</v>
      </c>
      <c r="G135" s="140">
        <v>352.5</v>
      </c>
      <c r="H135" s="140">
        <v>647.5</v>
      </c>
      <c r="I135" s="128">
        <f t="shared" si="24"/>
        <v>1000</v>
      </c>
      <c r="J135" s="127">
        <f t="shared" si="25"/>
        <v>2000</v>
      </c>
      <c r="K135" s="129"/>
    </row>
    <row r="136" spans="1:11" s="126" customFormat="1" ht="31.5" x14ac:dyDescent="0.2">
      <c r="A136" s="28">
        <f>IF(F136&lt;&gt;"",1+MAX($A$7:A135),"")</f>
        <v>118</v>
      </c>
      <c r="B136" s="43" t="s">
        <v>310</v>
      </c>
      <c r="C136" s="96">
        <v>1</v>
      </c>
      <c r="D136" s="121">
        <v>0</v>
      </c>
      <c r="E136" s="96">
        <f t="shared" si="23"/>
        <v>1</v>
      </c>
      <c r="F136" s="23" t="s">
        <v>106</v>
      </c>
      <c r="G136" s="140">
        <v>352.5</v>
      </c>
      <c r="H136" s="140">
        <v>647.5</v>
      </c>
      <c r="I136" s="128">
        <f t="shared" si="24"/>
        <v>1000</v>
      </c>
      <c r="J136" s="127">
        <f>I136*E136</f>
        <v>1000</v>
      </c>
      <c r="K136" s="129"/>
    </row>
    <row r="137" spans="1:11" s="126" customFormat="1" ht="31.5" x14ac:dyDescent="0.2">
      <c r="A137" s="28">
        <f>IF(F137&lt;&gt;"",1+MAX($A$7:A136),"")</f>
        <v>119</v>
      </c>
      <c r="B137" s="43" t="s">
        <v>122</v>
      </c>
      <c r="C137" s="96">
        <v>9</v>
      </c>
      <c r="D137" s="121">
        <v>0</v>
      </c>
      <c r="E137" s="96">
        <f t="shared" si="23"/>
        <v>9</v>
      </c>
      <c r="F137" s="23" t="s">
        <v>106</v>
      </c>
      <c r="G137" s="140">
        <v>282</v>
      </c>
      <c r="H137" s="140">
        <v>518</v>
      </c>
      <c r="I137" s="128">
        <f t="shared" si="24"/>
        <v>800</v>
      </c>
      <c r="J137" s="127">
        <f t="shared" si="25"/>
        <v>7200</v>
      </c>
      <c r="K137" s="129"/>
    </row>
    <row r="138" spans="1:11" s="126" customFormat="1" ht="31.5" x14ac:dyDescent="0.2">
      <c r="A138" s="28">
        <f>IF(F138&lt;&gt;"",1+MAX($A$7:A137),"")</f>
        <v>120</v>
      </c>
      <c r="B138" s="43" t="s">
        <v>123</v>
      </c>
      <c r="C138" s="96">
        <v>1</v>
      </c>
      <c r="D138" s="121">
        <v>0</v>
      </c>
      <c r="E138" s="96">
        <f t="shared" si="23"/>
        <v>1</v>
      </c>
      <c r="F138" s="23" t="s">
        <v>106</v>
      </c>
      <c r="G138" s="140">
        <v>282</v>
      </c>
      <c r="H138" s="140">
        <v>518</v>
      </c>
      <c r="I138" s="128">
        <f t="shared" si="24"/>
        <v>800</v>
      </c>
      <c r="J138" s="127">
        <f t="shared" si="25"/>
        <v>800</v>
      </c>
      <c r="K138" s="129"/>
    </row>
    <row r="139" spans="1:11" s="126" customFormat="1" ht="31.5" x14ac:dyDescent="0.2">
      <c r="A139" s="28">
        <f>IF(F139&lt;&gt;"",1+MAX($A$7:A138),"")</f>
        <v>121</v>
      </c>
      <c r="B139" s="43" t="s">
        <v>124</v>
      </c>
      <c r="C139" s="96">
        <v>1</v>
      </c>
      <c r="D139" s="121">
        <v>0</v>
      </c>
      <c r="E139" s="96">
        <f t="shared" si="23"/>
        <v>1</v>
      </c>
      <c r="F139" s="23" t="s">
        <v>106</v>
      </c>
      <c r="G139" s="140">
        <v>634.5</v>
      </c>
      <c r="H139" s="140">
        <v>1165.5</v>
      </c>
      <c r="I139" s="128">
        <f t="shared" si="24"/>
        <v>1800</v>
      </c>
      <c r="J139" s="127">
        <f t="shared" si="25"/>
        <v>1800</v>
      </c>
      <c r="K139" s="129"/>
    </row>
    <row r="140" spans="1:11" s="126" customFormat="1" x14ac:dyDescent="0.2">
      <c r="A140" s="28" t="str">
        <f>IF(F140&lt;&gt;"",1+MAX($A$7:A139),"")</f>
        <v/>
      </c>
      <c r="B140" s="165" t="s">
        <v>125</v>
      </c>
      <c r="C140" s="96"/>
      <c r="D140" s="121"/>
      <c r="E140" s="96"/>
      <c r="F140" s="23"/>
      <c r="G140" s="23"/>
      <c r="H140" s="23"/>
      <c r="I140" s="128"/>
      <c r="J140" s="127"/>
      <c r="K140" s="129"/>
    </row>
    <row r="141" spans="1:11" s="126" customFormat="1" ht="34.5" customHeight="1" x14ac:dyDescent="0.2">
      <c r="A141" s="28">
        <f>IF(F141&lt;&gt;"",1+MAX($A$7:A140),"")</f>
        <v>122</v>
      </c>
      <c r="B141" s="43" t="s">
        <v>126</v>
      </c>
      <c r="C141" s="96">
        <v>1</v>
      </c>
      <c r="D141" s="121">
        <v>0</v>
      </c>
      <c r="E141" s="96">
        <f t="shared" ref="E141:E161" si="26">C141*(1+D141)</f>
        <v>1</v>
      </c>
      <c r="F141" s="23" t="s">
        <v>106</v>
      </c>
      <c r="G141" s="140">
        <v>237.9375</v>
      </c>
      <c r="H141" s="140">
        <v>437.0625</v>
      </c>
      <c r="I141" s="128">
        <f t="shared" si="24"/>
        <v>675</v>
      </c>
      <c r="J141" s="127">
        <f t="shared" ref="J141:J161" si="27">I141*E141</f>
        <v>675</v>
      </c>
      <c r="K141" s="129"/>
    </row>
    <row r="142" spans="1:11" s="126" customFormat="1" ht="34.5" customHeight="1" x14ac:dyDescent="0.2">
      <c r="A142" s="28">
        <f>IF(F142&lt;&gt;"",1+MAX($A$7:A141),"")</f>
        <v>123</v>
      </c>
      <c r="B142" s="43" t="s">
        <v>127</v>
      </c>
      <c r="C142" s="96">
        <v>1</v>
      </c>
      <c r="D142" s="121">
        <v>0</v>
      </c>
      <c r="E142" s="96">
        <f t="shared" si="26"/>
        <v>1</v>
      </c>
      <c r="F142" s="23" t="s">
        <v>106</v>
      </c>
      <c r="G142" s="140">
        <v>1189.6875</v>
      </c>
      <c r="H142" s="140">
        <v>2185.3125</v>
      </c>
      <c r="I142" s="128">
        <f t="shared" si="24"/>
        <v>3375</v>
      </c>
      <c r="J142" s="127">
        <f t="shared" si="27"/>
        <v>3375</v>
      </c>
      <c r="K142" s="129"/>
    </row>
    <row r="143" spans="1:11" s="126" customFormat="1" ht="34.5" customHeight="1" x14ac:dyDescent="0.2">
      <c r="A143" s="28">
        <f>IF(F143&lt;&gt;"",1+MAX($A$7:A142),"")</f>
        <v>124</v>
      </c>
      <c r="B143" s="43" t="s">
        <v>128</v>
      </c>
      <c r="C143" s="96">
        <v>2</v>
      </c>
      <c r="D143" s="121">
        <v>0</v>
      </c>
      <c r="E143" s="96">
        <f t="shared" si="26"/>
        <v>2</v>
      </c>
      <c r="F143" s="23" t="s">
        <v>106</v>
      </c>
      <c r="G143" s="140">
        <v>428.28749999999997</v>
      </c>
      <c r="H143" s="140">
        <v>786.71250000000009</v>
      </c>
      <c r="I143" s="128">
        <f t="shared" si="24"/>
        <v>1215</v>
      </c>
      <c r="J143" s="127">
        <f t="shared" si="27"/>
        <v>2430</v>
      </c>
      <c r="K143" s="129"/>
    </row>
    <row r="144" spans="1:11" s="126" customFormat="1" ht="34.5" customHeight="1" x14ac:dyDescent="0.2">
      <c r="A144" s="28">
        <f>IF(F144&lt;&gt;"",1+MAX($A$7:A143),"")</f>
        <v>125</v>
      </c>
      <c r="B144" s="43" t="s">
        <v>129</v>
      </c>
      <c r="C144" s="96">
        <v>1</v>
      </c>
      <c r="D144" s="121">
        <v>0</v>
      </c>
      <c r="E144" s="96">
        <f t="shared" si="26"/>
        <v>1</v>
      </c>
      <c r="F144" s="23" t="s">
        <v>106</v>
      </c>
      <c r="G144" s="140">
        <v>1427.625</v>
      </c>
      <c r="H144" s="140">
        <v>2622.375</v>
      </c>
      <c r="I144" s="128">
        <f t="shared" si="24"/>
        <v>4050</v>
      </c>
      <c r="J144" s="127">
        <f t="shared" si="27"/>
        <v>4050</v>
      </c>
      <c r="K144" s="129"/>
    </row>
    <row r="145" spans="1:11" s="126" customFormat="1" ht="34.5" customHeight="1" x14ac:dyDescent="0.2">
      <c r="A145" s="28">
        <f>IF(F145&lt;&gt;"",1+MAX($A$7:A144),"")</f>
        <v>126</v>
      </c>
      <c r="B145" s="43" t="s">
        <v>130</v>
      </c>
      <c r="C145" s="96">
        <v>1</v>
      </c>
      <c r="D145" s="121">
        <v>0</v>
      </c>
      <c r="E145" s="96">
        <f t="shared" si="26"/>
        <v>1</v>
      </c>
      <c r="F145" s="23" t="s">
        <v>106</v>
      </c>
      <c r="G145" s="140">
        <v>352.5</v>
      </c>
      <c r="H145" s="140">
        <v>647.5</v>
      </c>
      <c r="I145" s="128">
        <f t="shared" si="24"/>
        <v>1000</v>
      </c>
      <c r="J145" s="127">
        <f t="shared" si="27"/>
        <v>1000</v>
      </c>
      <c r="K145" s="129"/>
    </row>
    <row r="146" spans="1:11" s="126" customFormat="1" ht="34.5" customHeight="1" x14ac:dyDescent="0.2">
      <c r="A146" s="28">
        <f>IF(F146&lt;&gt;"",1+MAX($A$7:A145),"")</f>
        <v>127</v>
      </c>
      <c r="B146" s="43" t="s">
        <v>131</v>
      </c>
      <c r="C146" s="96">
        <v>1</v>
      </c>
      <c r="D146" s="121">
        <v>0</v>
      </c>
      <c r="E146" s="96">
        <f t="shared" si="26"/>
        <v>1</v>
      </c>
      <c r="F146" s="23" t="s">
        <v>106</v>
      </c>
      <c r="G146" s="140">
        <v>193.875</v>
      </c>
      <c r="H146" s="140">
        <v>356.125</v>
      </c>
      <c r="I146" s="128">
        <f t="shared" si="24"/>
        <v>550</v>
      </c>
      <c r="J146" s="127">
        <f t="shared" si="27"/>
        <v>550</v>
      </c>
      <c r="K146" s="129"/>
    </row>
    <row r="147" spans="1:11" s="126" customFormat="1" ht="34.5" customHeight="1" x14ac:dyDescent="0.2">
      <c r="A147" s="28">
        <f>IF(F147&lt;&gt;"",1+MAX($A$7:A146),"")</f>
        <v>128</v>
      </c>
      <c r="B147" s="43" t="s">
        <v>132</v>
      </c>
      <c r="C147" s="96">
        <v>1</v>
      </c>
      <c r="D147" s="121">
        <v>0</v>
      </c>
      <c r="E147" s="96">
        <f t="shared" si="26"/>
        <v>1</v>
      </c>
      <c r="F147" s="23" t="s">
        <v>106</v>
      </c>
      <c r="G147" s="140">
        <v>475.875</v>
      </c>
      <c r="H147" s="140">
        <v>874.125</v>
      </c>
      <c r="I147" s="128">
        <f t="shared" si="24"/>
        <v>1350</v>
      </c>
      <c r="J147" s="127">
        <f t="shared" si="27"/>
        <v>1350</v>
      </c>
      <c r="K147" s="129"/>
    </row>
    <row r="148" spans="1:11" s="126" customFormat="1" ht="34.5" customHeight="1" x14ac:dyDescent="0.2">
      <c r="A148" s="28">
        <f>IF(F148&lt;&gt;"",1+MAX($A$7:A147),"")</f>
        <v>129</v>
      </c>
      <c r="B148" s="43" t="s">
        <v>133</v>
      </c>
      <c r="C148" s="96">
        <v>1</v>
      </c>
      <c r="D148" s="121">
        <v>0</v>
      </c>
      <c r="E148" s="96">
        <f t="shared" si="26"/>
        <v>1</v>
      </c>
      <c r="F148" s="23" t="s">
        <v>106</v>
      </c>
      <c r="G148" s="140">
        <v>571.04999999999995</v>
      </c>
      <c r="H148" s="140">
        <v>1048.95</v>
      </c>
      <c r="I148" s="128">
        <f t="shared" si="24"/>
        <v>1620</v>
      </c>
      <c r="J148" s="127">
        <f t="shared" si="27"/>
        <v>1620</v>
      </c>
      <c r="K148" s="129"/>
    </row>
    <row r="149" spans="1:11" s="126" customFormat="1" ht="34.5" customHeight="1" x14ac:dyDescent="0.2">
      <c r="A149" s="28">
        <f>IF(F149&lt;&gt;"",1+MAX($A$7:A148),"")</f>
        <v>130</v>
      </c>
      <c r="B149" s="43" t="s">
        <v>134</v>
      </c>
      <c r="C149" s="96">
        <v>1</v>
      </c>
      <c r="D149" s="121">
        <v>0</v>
      </c>
      <c r="E149" s="96">
        <f t="shared" si="26"/>
        <v>1</v>
      </c>
      <c r="F149" s="23" t="s">
        <v>106</v>
      </c>
      <c r="G149" s="140">
        <v>253.79999999999998</v>
      </c>
      <c r="H149" s="140">
        <v>466.20000000000005</v>
      </c>
      <c r="I149" s="128">
        <f t="shared" si="24"/>
        <v>720</v>
      </c>
      <c r="J149" s="127">
        <f t="shared" si="27"/>
        <v>720</v>
      </c>
      <c r="K149" s="129"/>
    </row>
    <row r="150" spans="1:11" s="126" customFormat="1" ht="34.5" customHeight="1" x14ac:dyDescent="0.2">
      <c r="A150" s="28">
        <f>IF(F150&lt;&gt;"",1+MAX($A$7:A149),"")</f>
        <v>131</v>
      </c>
      <c r="B150" s="43" t="s">
        <v>135</v>
      </c>
      <c r="C150" s="96">
        <v>1</v>
      </c>
      <c r="D150" s="121">
        <v>0</v>
      </c>
      <c r="E150" s="96">
        <f t="shared" si="26"/>
        <v>1</v>
      </c>
      <c r="F150" s="23" t="s">
        <v>106</v>
      </c>
      <c r="G150" s="140">
        <v>70.5</v>
      </c>
      <c r="H150" s="140">
        <v>129.5</v>
      </c>
      <c r="I150" s="128">
        <f t="shared" si="24"/>
        <v>200</v>
      </c>
      <c r="J150" s="127">
        <f t="shared" si="27"/>
        <v>200</v>
      </c>
      <c r="K150" s="129"/>
    </row>
    <row r="151" spans="1:11" s="126" customFormat="1" ht="34.5" customHeight="1" x14ac:dyDescent="0.2">
      <c r="A151" s="28">
        <f>IF(F151&lt;&gt;"",1+MAX($A$7:A150),"")</f>
        <v>132</v>
      </c>
      <c r="B151" s="43" t="s">
        <v>136</v>
      </c>
      <c r="C151" s="96">
        <v>7</v>
      </c>
      <c r="D151" s="121">
        <v>0</v>
      </c>
      <c r="E151" s="96">
        <f t="shared" si="26"/>
        <v>7</v>
      </c>
      <c r="F151" s="23" t="s">
        <v>106</v>
      </c>
      <c r="G151" s="140">
        <v>95.174999999999997</v>
      </c>
      <c r="H151" s="140">
        <v>174.82499999999999</v>
      </c>
      <c r="I151" s="128">
        <f t="shared" si="24"/>
        <v>270</v>
      </c>
      <c r="J151" s="127">
        <f t="shared" si="27"/>
        <v>1890</v>
      </c>
      <c r="K151" s="129"/>
    </row>
    <row r="152" spans="1:11" s="126" customFormat="1" ht="34.5" customHeight="1" x14ac:dyDescent="0.2">
      <c r="A152" s="28">
        <f>IF(F152&lt;&gt;"",1+MAX($A$7:A151),"")</f>
        <v>133</v>
      </c>
      <c r="B152" s="43" t="s">
        <v>137</v>
      </c>
      <c r="C152" s="96">
        <v>1</v>
      </c>
      <c r="D152" s="121">
        <v>0</v>
      </c>
      <c r="E152" s="96">
        <f t="shared" si="26"/>
        <v>1</v>
      </c>
      <c r="F152" s="23" t="s">
        <v>106</v>
      </c>
      <c r="G152" s="140">
        <v>888.3</v>
      </c>
      <c r="H152" s="140">
        <v>1631.7</v>
      </c>
      <c r="I152" s="128">
        <f t="shared" si="24"/>
        <v>2520</v>
      </c>
      <c r="J152" s="127">
        <f t="shared" si="27"/>
        <v>2520</v>
      </c>
      <c r="K152" s="129"/>
    </row>
    <row r="153" spans="1:11" s="126" customFormat="1" ht="34.5" customHeight="1" x14ac:dyDescent="0.2">
      <c r="A153" s="28">
        <f>IF(F153&lt;&gt;"",1+MAX($A$7:A152),"")</f>
        <v>134</v>
      </c>
      <c r="B153" s="43" t="s">
        <v>138</v>
      </c>
      <c r="C153" s="96">
        <v>1</v>
      </c>
      <c r="D153" s="121">
        <v>0</v>
      </c>
      <c r="E153" s="96">
        <f t="shared" si="26"/>
        <v>1</v>
      </c>
      <c r="F153" s="23" t="s">
        <v>106</v>
      </c>
      <c r="G153" s="140">
        <v>206.21249999999998</v>
      </c>
      <c r="H153" s="140">
        <v>378.78750000000002</v>
      </c>
      <c r="I153" s="128">
        <f t="shared" si="24"/>
        <v>585</v>
      </c>
      <c r="J153" s="127">
        <f t="shared" si="27"/>
        <v>585</v>
      </c>
      <c r="K153" s="129"/>
    </row>
    <row r="154" spans="1:11" s="126" customFormat="1" ht="34.5" customHeight="1" x14ac:dyDescent="0.2">
      <c r="A154" s="28">
        <f>IF(F154&lt;&gt;"",1+MAX($A$7:A153),"")</f>
        <v>135</v>
      </c>
      <c r="B154" s="43" t="s">
        <v>139</v>
      </c>
      <c r="C154" s="96">
        <v>2</v>
      </c>
      <c r="D154" s="121">
        <v>0</v>
      </c>
      <c r="E154" s="96">
        <f t="shared" si="26"/>
        <v>2</v>
      </c>
      <c r="F154" s="23" t="s">
        <v>106</v>
      </c>
      <c r="G154" s="140">
        <v>951.75</v>
      </c>
      <c r="H154" s="140">
        <v>1748.25</v>
      </c>
      <c r="I154" s="128">
        <f t="shared" si="24"/>
        <v>2700</v>
      </c>
      <c r="J154" s="127">
        <f t="shared" si="27"/>
        <v>5400</v>
      </c>
      <c r="K154" s="129"/>
    </row>
    <row r="155" spans="1:11" s="126" customFormat="1" ht="34.5" customHeight="1" x14ac:dyDescent="0.2">
      <c r="A155" s="28">
        <f>IF(F155&lt;&gt;"",1+MAX($A$7:A154),"")</f>
        <v>136</v>
      </c>
      <c r="B155" s="43" t="s">
        <v>140</v>
      </c>
      <c r="C155" s="96">
        <v>2</v>
      </c>
      <c r="D155" s="121">
        <v>0</v>
      </c>
      <c r="E155" s="96">
        <f t="shared" si="26"/>
        <v>2</v>
      </c>
      <c r="F155" s="23" t="s">
        <v>106</v>
      </c>
      <c r="G155" s="140">
        <v>237.9375</v>
      </c>
      <c r="H155" s="140">
        <v>437.0625</v>
      </c>
      <c r="I155" s="128">
        <f t="shared" si="24"/>
        <v>675</v>
      </c>
      <c r="J155" s="127">
        <f t="shared" si="27"/>
        <v>1350</v>
      </c>
      <c r="K155" s="129"/>
    </row>
    <row r="156" spans="1:11" s="126" customFormat="1" ht="34.5" customHeight="1" x14ac:dyDescent="0.2">
      <c r="A156" s="28">
        <f>IF(F156&lt;&gt;"",1+MAX($A$7:A155),"")</f>
        <v>137</v>
      </c>
      <c r="B156" s="43" t="s">
        <v>141</v>
      </c>
      <c r="C156" s="96">
        <v>3</v>
      </c>
      <c r="D156" s="121">
        <v>0</v>
      </c>
      <c r="E156" s="96">
        <f t="shared" si="26"/>
        <v>3</v>
      </c>
      <c r="F156" s="23" t="s">
        <v>106</v>
      </c>
      <c r="G156" s="140">
        <v>237.9375</v>
      </c>
      <c r="H156" s="140">
        <v>437.0625</v>
      </c>
      <c r="I156" s="128">
        <f t="shared" si="24"/>
        <v>675</v>
      </c>
      <c r="J156" s="127">
        <f t="shared" si="27"/>
        <v>2025</v>
      </c>
      <c r="K156" s="129"/>
    </row>
    <row r="157" spans="1:11" s="126" customFormat="1" ht="34.5" customHeight="1" x14ac:dyDescent="0.2">
      <c r="A157" s="28">
        <f>IF(F157&lt;&gt;"",1+MAX($A$7:A156),"")</f>
        <v>138</v>
      </c>
      <c r="B157" s="43" t="s">
        <v>142</v>
      </c>
      <c r="C157" s="96">
        <v>1</v>
      </c>
      <c r="D157" s="121">
        <v>0</v>
      </c>
      <c r="E157" s="96">
        <f t="shared" si="26"/>
        <v>1</v>
      </c>
      <c r="F157" s="23" t="s">
        <v>106</v>
      </c>
      <c r="G157" s="140">
        <v>904.16249999999991</v>
      </c>
      <c r="H157" s="140">
        <v>1660.8375000000001</v>
      </c>
      <c r="I157" s="128">
        <f t="shared" si="24"/>
        <v>2565</v>
      </c>
      <c r="J157" s="127">
        <f t="shared" si="27"/>
        <v>2565</v>
      </c>
      <c r="K157" s="129"/>
    </row>
    <row r="158" spans="1:11" s="126" customFormat="1" ht="34.5" customHeight="1" x14ac:dyDescent="0.2">
      <c r="A158" s="28">
        <f>IF(F158&lt;&gt;"",1+MAX($A$7:A157),"")</f>
        <v>139</v>
      </c>
      <c r="B158" s="43" t="s">
        <v>143</v>
      </c>
      <c r="C158" s="96">
        <v>2</v>
      </c>
      <c r="D158" s="121">
        <v>0</v>
      </c>
      <c r="E158" s="96">
        <f t="shared" si="26"/>
        <v>2</v>
      </c>
      <c r="F158" s="23" t="s">
        <v>106</v>
      </c>
      <c r="G158" s="140">
        <v>123.375</v>
      </c>
      <c r="H158" s="140">
        <v>226.625</v>
      </c>
      <c r="I158" s="128">
        <f t="shared" si="24"/>
        <v>350</v>
      </c>
      <c r="J158" s="127">
        <f t="shared" si="27"/>
        <v>700</v>
      </c>
      <c r="K158" s="129"/>
    </row>
    <row r="159" spans="1:11" s="126" customFormat="1" ht="34.5" customHeight="1" x14ac:dyDescent="0.2">
      <c r="A159" s="28">
        <f>IF(F159&lt;&gt;"",1+MAX($A$7:A158),"")</f>
        <v>140</v>
      </c>
      <c r="B159" s="43" t="s">
        <v>144</v>
      </c>
      <c r="C159" s="96">
        <v>1</v>
      </c>
      <c r="D159" s="121">
        <v>0</v>
      </c>
      <c r="E159" s="96">
        <f t="shared" si="26"/>
        <v>1</v>
      </c>
      <c r="F159" s="23" t="s">
        <v>106</v>
      </c>
      <c r="G159" s="140">
        <v>123.375</v>
      </c>
      <c r="H159" s="140">
        <v>226.625</v>
      </c>
      <c r="I159" s="128">
        <f t="shared" si="24"/>
        <v>350</v>
      </c>
      <c r="J159" s="127">
        <f t="shared" si="27"/>
        <v>350</v>
      </c>
      <c r="K159" s="129"/>
    </row>
    <row r="160" spans="1:11" s="126" customFormat="1" ht="34.5" customHeight="1" x14ac:dyDescent="0.2">
      <c r="A160" s="28">
        <f>IF(F160&lt;&gt;"",1+MAX($A$7:A159),"")</f>
        <v>141</v>
      </c>
      <c r="B160" s="43" t="s">
        <v>145</v>
      </c>
      <c r="C160" s="96">
        <v>1</v>
      </c>
      <c r="D160" s="121">
        <v>0</v>
      </c>
      <c r="E160" s="96">
        <f t="shared" si="26"/>
        <v>1</v>
      </c>
      <c r="F160" s="23" t="s">
        <v>106</v>
      </c>
      <c r="G160" s="140">
        <v>761.4</v>
      </c>
      <c r="H160" s="140">
        <v>1398.6</v>
      </c>
      <c r="I160" s="128">
        <f t="shared" si="24"/>
        <v>2160</v>
      </c>
      <c r="J160" s="127">
        <f t="shared" si="27"/>
        <v>2160</v>
      </c>
      <c r="K160" s="129"/>
    </row>
    <row r="161" spans="1:11" s="126" customFormat="1" ht="34.5" customHeight="1" x14ac:dyDescent="0.2">
      <c r="A161" s="28">
        <f>IF(F161&lt;&gt;"",1+MAX($A$7:A160),"")</f>
        <v>142</v>
      </c>
      <c r="B161" s="43" t="s">
        <v>146</v>
      </c>
      <c r="C161" s="96">
        <v>1</v>
      </c>
      <c r="D161" s="121">
        <v>0</v>
      </c>
      <c r="E161" s="96">
        <f t="shared" si="26"/>
        <v>1</v>
      </c>
      <c r="F161" s="23" t="s">
        <v>106</v>
      </c>
      <c r="G161" s="140">
        <v>507.59999999999997</v>
      </c>
      <c r="H161" s="140">
        <v>932.40000000000009</v>
      </c>
      <c r="I161" s="128">
        <f t="shared" si="24"/>
        <v>1440</v>
      </c>
      <c r="J161" s="127">
        <f t="shared" si="27"/>
        <v>1440</v>
      </c>
      <c r="K161" s="129"/>
    </row>
    <row r="162" spans="1:11" s="151" customFormat="1" x14ac:dyDescent="0.2">
      <c r="A162" s="146" t="str">
        <f>IF(F162&lt;&gt;"",1+MAX($A$7:A161),"")</f>
        <v/>
      </c>
      <c r="B162" s="147" t="s">
        <v>147</v>
      </c>
      <c r="C162" s="148"/>
      <c r="D162" s="148"/>
      <c r="E162" s="148"/>
      <c r="F162" s="149"/>
      <c r="G162" s="149"/>
      <c r="H162" s="149"/>
      <c r="I162" s="147"/>
      <c r="J162" s="147"/>
      <c r="K162" s="150">
        <f>SUM(J165:J212)</f>
        <v>361009.27840000007</v>
      </c>
    </row>
    <row r="163" spans="1:11" s="126" customFormat="1" x14ac:dyDescent="0.2">
      <c r="A163" s="28" t="str">
        <f>IF(F163&lt;&gt;"",1+MAX($A$7:A162),"")</f>
        <v/>
      </c>
      <c r="B163" s="165" t="s">
        <v>148</v>
      </c>
      <c r="C163" s="96"/>
      <c r="D163" s="121"/>
      <c r="E163" s="96"/>
      <c r="F163" s="23"/>
      <c r="G163" s="23"/>
      <c r="H163" s="23"/>
      <c r="I163" s="128"/>
      <c r="J163" s="127"/>
      <c r="K163" s="129"/>
    </row>
    <row r="164" spans="1:11" s="126" customFormat="1" x14ac:dyDescent="0.2">
      <c r="A164" s="28" t="str">
        <f>IF(F164&lt;&gt;"",1+MAX($A$7:A163),"")</f>
        <v/>
      </c>
      <c r="B164" s="135" t="s">
        <v>149</v>
      </c>
      <c r="C164" s="96"/>
      <c r="D164" s="121"/>
      <c r="E164" s="96"/>
      <c r="F164" s="23"/>
      <c r="G164" s="23"/>
      <c r="H164" s="23"/>
      <c r="I164" s="128"/>
      <c r="J164" s="127"/>
      <c r="K164" s="129"/>
    </row>
    <row r="165" spans="1:11" s="126" customFormat="1" x14ac:dyDescent="0.2">
      <c r="A165" s="28">
        <f>IF(F165&lt;&gt;"",1+MAX($A$7:A164),"")</f>
        <v>143</v>
      </c>
      <c r="B165" s="43" t="s">
        <v>150</v>
      </c>
      <c r="C165" s="96">
        <f>1460*2</f>
        <v>2920</v>
      </c>
      <c r="D165" s="121">
        <v>0.1</v>
      </c>
      <c r="E165" s="96">
        <f>C165*(1+D165)</f>
        <v>3212.0000000000005</v>
      </c>
      <c r="F165" s="23" t="s">
        <v>21</v>
      </c>
      <c r="G165" s="141">
        <v>1.0499999999999998</v>
      </c>
      <c r="H165" s="141">
        <v>1.9500000000000002</v>
      </c>
      <c r="I165" s="128">
        <f>G165+H165</f>
        <v>3</v>
      </c>
      <c r="J165" s="127">
        <f>I165*E165</f>
        <v>9636.0000000000018</v>
      </c>
      <c r="K165" s="129"/>
    </row>
    <row r="166" spans="1:11" s="126" customFormat="1" x14ac:dyDescent="0.2">
      <c r="A166" s="28">
        <f>IF(F166&lt;&gt;"",1+MAX($A$7:A165),"")</f>
        <v>144</v>
      </c>
      <c r="B166" s="43" t="s">
        <v>151</v>
      </c>
      <c r="C166" s="96">
        <v>1460</v>
      </c>
      <c r="D166" s="121">
        <v>0.1</v>
      </c>
      <c r="E166" s="96">
        <f>C166*(1+D166)</f>
        <v>1606.0000000000002</v>
      </c>
      <c r="F166" s="23" t="s">
        <v>21</v>
      </c>
      <c r="G166" s="141">
        <v>0.875</v>
      </c>
      <c r="H166" s="141">
        <v>1.625</v>
      </c>
      <c r="I166" s="128">
        <f t="shared" ref="I166:I226" si="28">G166+H166</f>
        <v>2.5</v>
      </c>
      <c r="J166" s="127">
        <f>I166*E166</f>
        <v>4015.0000000000005</v>
      </c>
      <c r="K166" s="129"/>
    </row>
    <row r="167" spans="1:11" s="126" customFormat="1" x14ac:dyDescent="0.2">
      <c r="A167" s="28">
        <f>IF(F167&lt;&gt;"",1+MAX($A$7:A166),"")</f>
        <v>145</v>
      </c>
      <c r="B167" s="43" t="s">
        <v>152</v>
      </c>
      <c r="C167" s="96">
        <f>146*4</f>
        <v>584</v>
      </c>
      <c r="D167" s="121">
        <v>0.1</v>
      </c>
      <c r="E167" s="96">
        <f>C167*(1+D167)</f>
        <v>642.40000000000009</v>
      </c>
      <c r="F167" s="23" t="s">
        <v>153</v>
      </c>
      <c r="G167" s="141">
        <v>0.35</v>
      </c>
      <c r="H167" s="141">
        <v>0.65</v>
      </c>
      <c r="I167" s="128">
        <f t="shared" si="28"/>
        <v>1</v>
      </c>
      <c r="J167" s="127">
        <f>I167*E167</f>
        <v>642.40000000000009</v>
      </c>
      <c r="K167" s="129"/>
    </row>
    <row r="168" spans="1:11" s="126" customFormat="1" x14ac:dyDescent="0.2">
      <c r="A168" s="28" t="str">
        <f>IF(F168&lt;&gt;"",1+MAX($A$7:A167),"")</f>
        <v/>
      </c>
      <c r="B168" s="135" t="s">
        <v>154</v>
      </c>
      <c r="C168" s="96"/>
      <c r="D168" s="121"/>
      <c r="E168" s="96"/>
      <c r="F168" s="23"/>
      <c r="G168" s="23"/>
      <c r="H168" s="141"/>
      <c r="I168" s="128"/>
      <c r="J168" s="127"/>
      <c r="K168" s="129"/>
    </row>
    <row r="169" spans="1:11" s="126" customFormat="1" x14ac:dyDescent="0.2">
      <c r="A169" s="28">
        <f>IF(F169&lt;&gt;"",1+MAX($A$7:A168),"")</f>
        <v>146</v>
      </c>
      <c r="B169" s="43" t="s">
        <v>150</v>
      </c>
      <c r="C169" s="96">
        <f>3500.7*2</f>
        <v>7001.4</v>
      </c>
      <c r="D169" s="121">
        <v>0.1</v>
      </c>
      <c r="E169" s="96">
        <f>C169*(1+D169)</f>
        <v>7701.54</v>
      </c>
      <c r="F169" s="23" t="s">
        <v>21</v>
      </c>
      <c r="G169" s="141">
        <v>1.0499999999999998</v>
      </c>
      <c r="H169" s="141">
        <v>1.9500000000000002</v>
      </c>
      <c r="I169" s="128">
        <f t="shared" si="28"/>
        <v>3</v>
      </c>
      <c r="J169" s="127">
        <f>I169*E169</f>
        <v>23104.62</v>
      </c>
      <c r="K169" s="129"/>
    </row>
    <row r="170" spans="1:11" s="126" customFormat="1" x14ac:dyDescent="0.2">
      <c r="A170" s="28">
        <f>IF(F170&lt;&gt;"",1+MAX($A$7:A169),"")</f>
        <v>147</v>
      </c>
      <c r="B170" s="43" t="s">
        <v>155</v>
      </c>
      <c r="C170" s="96">
        <v>3500.7</v>
      </c>
      <c r="D170" s="121">
        <v>0.1</v>
      </c>
      <c r="E170" s="96">
        <f>C170*(1+D170)</f>
        <v>3850.77</v>
      </c>
      <c r="F170" s="23" t="s">
        <v>21</v>
      </c>
      <c r="G170" s="141">
        <v>0.7</v>
      </c>
      <c r="H170" s="141">
        <v>1.3</v>
      </c>
      <c r="I170" s="128">
        <f t="shared" si="28"/>
        <v>2</v>
      </c>
      <c r="J170" s="127">
        <f>I170*E170</f>
        <v>7701.54</v>
      </c>
      <c r="K170" s="129"/>
    </row>
    <row r="171" spans="1:11" s="126" customFormat="1" x14ac:dyDescent="0.2">
      <c r="A171" s="28">
        <f>IF(F171&lt;&gt;"",1+MAX($A$7:A170),"")</f>
        <v>148</v>
      </c>
      <c r="B171" s="43" t="s">
        <v>152</v>
      </c>
      <c r="C171" s="96">
        <f>350.7*4</f>
        <v>1402.8</v>
      </c>
      <c r="D171" s="121">
        <v>0.1</v>
      </c>
      <c r="E171" s="96">
        <f>C171*(1+D171)</f>
        <v>1543.0800000000002</v>
      </c>
      <c r="F171" s="23" t="s">
        <v>153</v>
      </c>
      <c r="G171" s="141">
        <v>0.35</v>
      </c>
      <c r="H171" s="141">
        <v>0.65</v>
      </c>
      <c r="I171" s="128">
        <f t="shared" si="28"/>
        <v>1</v>
      </c>
      <c r="J171" s="127">
        <f>I171*E171</f>
        <v>1543.0800000000002</v>
      </c>
      <c r="K171" s="129"/>
    </row>
    <row r="172" spans="1:11" s="126" customFormat="1" x14ac:dyDescent="0.2">
      <c r="A172" s="28" t="str">
        <f>IF(F172&lt;&gt;"",1+MAX($A$7:A171),"")</f>
        <v/>
      </c>
      <c r="B172" s="135" t="s">
        <v>156</v>
      </c>
      <c r="C172" s="96"/>
      <c r="D172" s="121"/>
      <c r="E172" s="96"/>
      <c r="F172" s="23"/>
      <c r="G172" s="23"/>
      <c r="H172" s="23"/>
      <c r="I172" s="128"/>
      <c r="J172" s="127"/>
      <c r="K172" s="129"/>
    </row>
    <row r="173" spans="1:11" s="126" customFormat="1" x14ac:dyDescent="0.2">
      <c r="A173" s="28">
        <f>IF(F173&lt;&gt;"",1+MAX($A$7:A172),"")</f>
        <v>149</v>
      </c>
      <c r="B173" s="43" t="s">
        <v>157</v>
      </c>
      <c r="C173" s="96">
        <f>1649*2</f>
        <v>3298</v>
      </c>
      <c r="D173" s="121">
        <v>0.1</v>
      </c>
      <c r="E173" s="96">
        <f>C173*(1+D173)</f>
        <v>3627.8</v>
      </c>
      <c r="F173" s="23" t="s">
        <v>21</v>
      </c>
      <c r="G173" s="141">
        <v>1.0499999999999998</v>
      </c>
      <c r="H173" s="141">
        <v>1.9500000000000002</v>
      </c>
      <c r="I173" s="128">
        <f t="shared" si="28"/>
        <v>3</v>
      </c>
      <c r="J173" s="127">
        <f>I173*E173</f>
        <v>10883.400000000001</v>
      </c>
      <c r="K173" s="129"/>
    </row>
    <row r="174" spans="1:11" s="126" customFormat="1" x14ac:dyDescent="0.2">
      <c r="A174" s="28">
        <f>IF(F174&lt;&gt;"",1+MAX($A$7:A173),"")</f>
        <v>150</v>
      </c>
      <c r="B174" s="43" t="s">
        <v>155</v>
      </c>
      <c r="C174" s="96">
        <v>1649</v>
      </c>
      <c r="D174" s="121">
        <v>0.1</v>
      </c>
      <c r="E174" s="96">
        <f>C174*(1+D174)</f>
        <v>1813.9</v>
      </c>
      <c r="F174" s="23" t="s">
        <v>21</v>
      </c>
      <c r="G174" s="141">
        <v>0.7</v>
      </c>
      <c r="H174" s="141">
        <v>1.3</v>
      </c>
      <c r="I174" s="128">
        <f t="shared" si="28"/>
        <v>2</v>
      </c>
      <c r="J174" s="127">
        <f>I174*E174</f>
        <v>3627.8</v>
      </c>
      <c r="K174" s="129"/>
    </row>
    <row r="175" spans="1:11" s="126" customFormat="1" x14ac:dyDescent="0.2">
      <c r="A175" s="28">
        <f>IF(F175&lt;&gt;"",1+MAX($A$7:A174),"")</f>
        <v>151</v>
      </c>
      <c r="B175" s="43" t="s">
        <v>158</v>
      </c>
      <c r="C175" s="96">
        <v>1649</v>
      </c>
      <c r="D175" s="121">
        <v>0.1</v>
      </c>
      <c r="E175" s="96">
        <f>C175*(1+D175)</f>
        <v>1813.9</v>
      </c>
      <c r="F175" s="23" t="s">
        <v>21</v>
      </c>
      <c r="G175" s="141">
        <v>0.7</v>
      </c>
      <c r="H175" s="141">
        <v>1.3</v>
      </c>
      <c r="I175" s="128">
        <f t="shared" si="28"/>
        <v>2</v>
      </c>
      <c r="J175" s="127">
        <f>I175*E175</f>
        <v>3627.8</v>
      </c>
      <c r="K175" s="129"/>
    </row>
    <row r="176" spans="1:11" s="126" customFormat="1" x14ac:dyDescent="0.2">
      <c r="A176" s="28">
        <f>IF(F176&lt;&gt;"",1+MAX($A$7:A175),"")</f>
        <v>152</v>
      </c>
      <c r="B176" s="43" t="s">
        <v>152</v>
      </c>
      <c r="C176" s="96">
        <f>164.9*4</f>
        <v>659.6</v>
      </c>
      <c r="D176" s="121">
        <v>0.1</v>
      </c>
      <c r="E176" s="96">
        <f>C176*(1+D176)</f>
        <v>725.56000000000006</v>
      </c>
      <c r="F176" s="23" t="s">
        <v>153</v>
      </c>
      <c r="G176" s="141">
        <v>0.35</v>
      </c>
      <c r="H176" s="141">
        <v>0.65</v>
      </c>
      <c r="I176" s="128">
        <f t="shared" si="28"/>
        <v>1</v>
      </c>
      <c r="J176" s="127">
        <f>I176*E176</f>
        <v>725.56000000000006</v>
      </c>
      <c r="K176" s="129"/>
    </row>
    <row r="177" spans="1:11" s="126" customFormat="1" x14ac:dyDescent="0.2">
      <c r="A177" s="28" t="str">
        <f>IF(F177&lt;&gt;"",1+MAX($A$7:A176),"")</f>
        <v/>
      </c>
      <c r="B177" s="135" t="s">
        <v>159</v>
      </c>
      <c r="C177" s="96"/>
      <c r="D177" s="121"/>
      <c r="E177" s="96"/>
      <c r="F177" s="23"/>
      <c r="G177" s="23"/>
      <c r="H177" s="23"/>
      <c r="I177" s="128"/>
      <c r="J177" s="127"/>
      <c r="K177" s="129"/>
    </row>
    <row r="178" spans="1:11" s="126" customFormat="1" x14ac:dyDescent="0.2">
      <c r="A178" s="28">
        <f>IF(F178&lt;&gt;"",1+MAX($A$7:A177),"")</f>
        <v>153</v>
      </c>
      <c r="B178" s="43" t="s">
        <v>157</v>
      </c>
      <c r="C178" s="96">
        <f>120</f>
        <v>120</v>
      </c>
      <c r="D178" s="121">
        <v>0.1</v>
      </c>
      <c r="E178" s="96">
        <f>C178*(1+D178)</f>
        <v>132</v>
      </c>
      <c r="F178" s="23" t="s">
        <v>21</v>
      </c>
      <c r="G178" s="141">
        <v>1.0499999999999998</v>
      </c>
      <c r="H178" s="141">
        <v>1.9500000000000002</v>
      </c>
      <c r="I178" s="128">
        <f t="shared" si="28"/>
        <v>3</v>
      </c>
      <c r="J178" s="127">
        <f>I178*E178</f>
        <v>396</v>
      </c>
      <c r="K178" s="129"/>
    </row>
    <row r="179" spans="1:11" s="126" customFormat="1" x14ac:dyDescent="0.2">
      <c r="A179" s="28">
        <f>IF(F179&lt;&gt;"",1+MAX($A$7:A178),"")</f>
        <v>154</v>
      </c>
      <c r="B179" s="43" t="s">
        <v>151</v>
      </c>
      <c r="C179" s="96">
        <v>120</v>
      </c>
      <c r="D179" s="121">
        <v>0.1</v>
      </c>
      <c r="E179" s="96">
        <f>C179*(1+D179)</f>
        <v>132</v>
      </c>
      <c r="F179" s="23" t="s">
        <v>21</v>
      </c>
      <c r="G179" s="141">
        <v>0.875</v>
      </c>
      <c r="H179" s="141">
        <v>1.625</v>
      </c>
      <c r="I179" s="128">
        <f t="shared" si="28"/>
        <v>2.5</v>
      </c>
      <c r="J179" s="127">
        <f>I179*E179</f>
        <v>330</v>
      </c>
      <c r="K179" s="129"/>
    </row>
    <row r="180" spans="1:11" s="126" customFormat="1" x14ac:dyDescent="0.2">
      <c r="A180" s="28">
        <f>IF(F180&lt;&gt;"",1+MAX($A$7:A179),"")</f>
        <v>155</v>
      </c>
      <c r="B180" s="43" t="s">
        <v>152</v>
      </c>
      <c r="C180" s="96">
        <f>10.52*2</f>
        <v>21.04</v>
      </c>
      <c r="D180" s="121">
        <v>0.1</v>
      </c>
      <c r="E180" s="96">
        <f>C180*(1+D180)</f>
        <v>23.144000000000002</v>
      </c>
      <c r="F180" s="23" t="s">
        <v>153</v>
      </c>
      <c r="G180" s="141">
        <v>0.35</v>
      </c>
      <c r="H180" s="141">
        <v>0.65</v>
      </c>
      <c r="I180" s="128">
        <f t="shared" si="28"/>
        <v>1</v>
      </c>
      <c r="J180" s="127">
        <f>I180*E180</f>
        <v>23.144000000000002</v>
      </c>
      <c r="K180" s="129"/>
    </row>
    <row r="181" spans="1:11" s="126" customFormat="1" x14ac:dyDescent="0.2">
      <c r="A181" s="28" t="str">
        <f>IF(F181&lt;&gt;"",1+MAX($A$7:A180),"")</f>
        <v/>
      </c>
      <c r="B181" s="135" t="s">
        <v>160</v>
      </c>
      <c r="C181" s="96"/>
      <c r="D181" s="121"/>
      <c r="E181" s="96"/>
      <c r="F181" s="23"/>
      <c r="G181" s="23"/>
      <c r="H181" s="23"/>
      <c r="I181" s="128"/>
      <c r="J181" s="127"/>
      <c r="K181" s="129"/>
    </row>
    <row r="182" spans="1:11" s="126" customFormat="1" x14ac:dyDescent="0.2">
      <c r="A182" s="28">
        <f>IF(F182&lt;&gt;"",1+MAX($A$7:A181),"")</f>
        <v>156</v>
      </c>
      <c r="B182" s="43" t="s">
        <v>161</v>
      </c>
      <c r="C182" s="96">
        <f>503.64*2</f>
        <v>1007.28</v>
      </c>
      <c r="D182" s="121">
        <v>0.1</v>
      </c>
      <c r="E182" s="96">
        <f>C182*(1+D182)</f>
        <v>1108.008</v>
      </c>
      <c r="F182" s="23" t="s">
        <v>21</v>
      </c>
      <c r="G182" s="141">
        <v>1.0499999999999998</v>
      </c>
      <c r="H182" s="141">
        <v>1.9500000000000002</v>
      </c>
      <c r="I182" s="128">
        <f t="shared" si="28"/>
        <v>3</v>
      </c>
      <c r="J182" s="127">
        <f>I182*E182</f>
        <v>3324.0240000000003</v>
      </c>
      <c r="K182" s="129"/>
    </row>
    <row r="183" spans="1:11" s="126" customFormat="1" x14ac:dyDescent="0.2">
      <c r="A183" s="28">
        <f>IF(F183&lt;&gt;"",1+MAX($A$7:A182),"")</f>
        <v>157</v>
      </c>
      <c r="B183" s="43" t="s">
        <v>151</v>
      </c>
      <c r="C183" s="96">
        <v>503.64</v>
      </c>
      <c r="D183" s="121">
        <v>0.1</v>
      </c>
      <c r="E183" s="96">
        <f>C183*(1+D183)</f>
        <v>554.00400000000002</v>
      </c>
      <c r="F183" s="23" t="s">
        <v>21</v>
      </c>
      <c r="G183" s="141">
        <v>0.875</v>
      </c>
      <c r="H183" s="141">
        <v>1.625</v>
      </c>
      <c r="I183" s="128">
        <f t="shared" si="28"/>
        <v>2.5</v>
      </c>
      <c r="J183" s="127">
        <f>I183*E183</f>
        <v>1385.01</v>
      </c>
      <c r="K183" s="129"/>
    </row>
    <row r="184" spans="1:11" s="126" customFormat="1" x14ac:dyDescent="0.2">
      <c r="A184" s="28">
        <f>IF(F184&lt;&gt;"",1+MAX($A$7:A183),"")</f>
        <v>158</v>
      </c>
      <c r="B184" s="43" t="s">
        <v>152</v>
      </c>
      <c r="C184" s="96">
        <f>41.97*4</f>
        <v>167.88</v>
      </c>
      <c r="D184" s="121">
        <v>0.1</v>
      </c>
      <c r="E184" s="96">
        <f>C184*(1+D184)</f>
        <v>184.66800000000001</v>
      </c>
      <c r="F184" s="23" t="s">
        <v>153</v>
      </c>
      <c r="G184" s="141">
        <v>0.35</v>
      </c>
      <c r="H184" s="141">
        <v>0.65</v>
      </c>
      <c r="I184" s="128">
        <f t="shared" si="28"/>
        <v>1</v>
      </c>
      <c r="J184" s="127">
        <f>I184*E184</f>
        <v>184.66800000000001</v>
      </c>
      <c r="K184" s="129"/>
    </row>
    <row r="185" spans="1:11" s="126" customFormat="1" x14ac:dyDescent="0.2">
      <c r="A185" s="28" t="str">
        <f>IF(F185&lt;&gt;"",1+MAX($A$7:A184),"")</f>
        <v/>
      </c>
      <c r="B185" s="135" t="s">
        <v>162</v>
      </c>
      <c r="C185" s="96"/>
      <c r="D185" s="121"/>
      <c r="E185" s="96"/>
      <c r="F185" s="23"/>
      <c r="G185" s="23"/>
      <c r="H185" s="23"/>
      <c r="I185" s="128"/>
      <c r="J185" s="127"/>
      <c r="K185" s="129"/>
    </row>
    <row r="186" spans="1:11" s="126" customFormat="1" x14ac:dyDescent="0.2">
      <c r="A186" s="28">
        <f>IF(F186&lt;&gt;"",1+MAX($A$7:A185),"")</f>
        <v>159</v>
      </c>
      <c r="B186" s="43" t="s">
        <v>163</v>
      </c>
      <c r="C186" s="96">
        <f>7113.6</f>
        <v>7113.6</v>
      </c>
      <c r="D186" s="121">
        <v>0.1</v>
      </c>
      <c r="E186" s="96">
        <f>C186*(1+D186)</f>
        <v>7824.9600000000009</v>
      </c>
      <c r="F186" s="23" t="s">
        <v>21</v>
      </c>
      <c r="G186" s="141">
        <v>1.0499999999999998</v>
      </c>
      <c r="H186" s="141">
        <v>1.9500000000000002</v>
      </c>
      <c r="I186" s="128">
        <f t="shared" si="28"/>
        <v>3</v>
      </c>
      <c r="J186" s="127">
        <f>I186*E186</f>
        <v>23474.880000000005</v>
      </c>
      <c r="K186" s="129"/>
    </row>
    <row r="187" spans="1:11" s="126" customFormat="1" x14ac:dyDescent="0.2">
      <c r="A187" s="28">
        <f>IF(F187&lt;&gt;"",1+MAX($A$7:A186),"")</f>
        <v>160</v>
      </c>
      <c r="B187" s="43" t="s">
        <v>151</v>
      </c>
      <c r="C187" s="96">
        <v>7113.6</v>
      </c>
      <c r="D187" s="121">
        <v>0.1</v>
      </c>
      <c r="E187" s="96">
        <f>C187*(1+D187)</f>
        <v>7824.9600000000009</v>
      </c>
      <c r="F187" s="23" t="s">
        <v>21</v>
      </c>
      <c r="G187" s="141">
        <v>0.875</v>
      </c>
      <c r="H187" s="141">
        <v>1.625</v>
      </c>
      <c r="I187" s="128">
        <f t="shared" si="28"/>
        <v>2.5</v>
      </c>
      <c r="J187" s="127">
        <f>I187*E187</f>
        <v>19562.400000000001</v>
      </c>
      <c r="K187" s="129"/>
    </row>
    <row r="188" spans="1:11" s="126" customFormat="1" x14ac:dyDescent="0.2">
      <c r="A188" s="28">
        <f>IF(F188&lt;&gt;"",1+MAX($A$7:A187),"")</f>
        <v>161</v>
      </c>
      <c r="B188" s="43" t="s">
        <v>158</v>
      </c>
      <c r="C188" s="96">
        <v>7113.6</v>
      </c>
      <c r="D188" s="121">
        <v>0.1</v>
      </c>
      <c r="E188" s="96">
        <f>C188*(1+D188)</f>
        <v>7824.9600000000009</v>
      </c>
      <c r="F188" s="23" t="s">
        <v>21</v>
      </c>
      <c r="G188" s="141">
        <v>0.7</v>
      </c>
      <c r="H188" s="141">
        <v>1.3</v>
      </c>
      <c r="I188" s="128">
        <f t="shared" si="28"/>
        <v>2</v>
      </c>
      <c r="J188" s="127">
        <f>I188*E188</f>
        <v>15649.920000000002</v>
      </c>
      <c r="K188" s="129"/>
    </row>
    <row r="189" spans="1:11" s="126" customFormat="1" x14ac:dyDescent="0.2">
      <c r="A189" s="28">
        <f>IF(F189&lt;&gt;"",1+MAX($A$7:A188),"")</f>
        <v>162</v>
      </c>
      <c r="B189" s="43" t="s">
        <v>152</v>
      </c>
      <c r="C189" s="96">
        <f>592*2</f>
        <v>1184</v>
      </c>
      <c r="D189" s="121">
        <v>0.1</v>
      </c>
      <c r="E189" s="96">
        <f>C189*(1+D189)</f>
        <v>1302.4000000000001</v>
      </c>
      <c r="F189" s="23" t="s">
        <v>153</v>
      </c>
      <c r="G189" s="141">
        <v>0.35</v>
      </c>
      <c r="H189" s="141">
        <v>0.65</v>
      </c>
      <c r="I189" s="128">
        <f t="shared" si="28"/>
        <v>1</v>
      </c>
      <c r="J189" s="127">
        <f>I189*E189</f>
        <v>1302.4000000000001</v>
      </c>
      <c r="K189" s="129"/>
    </row>
    <row r="190" spans="1:11" s="126" customFormat="1" x14ac:dyDescent="0.2">
      <c r="A190" s="28" t="str">
        <f>IF(F190&lt;&gt;"",1+MAX($A$7:A189),"")</f>
        <v/>
      </c>
      <c r="B190" s="165" t="s">
        <v>164</v>
      </c>
      <c r="C190" s="96"/>
      <c r="D190" s="121"/>
      <c r="E190" s="96"/>
      <c r="F190" s="23"/>
      <c r="G190" s="23"/>
      <c r="H190" s="23"/>
      <c r="I190" s="128"/>
      <c r="J190" s="127"/>
      <c r="K190" s="129"/>
    </row>
    <row r="191" spans="1:11" s="126" customFormat="1" x14ac:dyDescent="0.2">
      <c r="A191" s="28">
        <f>IF(F191&lt;&gt;"",1+MAX($A$7:A190),"")</f>
        <v>163</v>
      </c>
      <c r="B191" s="43" t="s">
        <v>165</v>
      </c>
      <c r="C191" s="96">
        <v>433.54</v>
      </c>
      <c r="D191" s="121">
        <v>0.1</v>
      </c>
      <c r="E191" s="96">
        <f>C191*(1+D191)</f>
        <v>476.89400000000006</v>
      </c>
      <c r="F191" s="23" t="s">
        <v>21</v>
      </c>
      <c r="G191" s="141">
        <v>0.7</v>
      </c>
      <c r="H191" s="141">
        <v>1.3</v>
      </c>
      <c r="I191" s="128">
        <f t="shared" si="28"/>
        <v>2</v>
      </c>
      <c r="J191" s="127">
        <f>I191*E191</f>
        <v>953.78800000000012</v>
      </c>
      <c r="K191" s="129"/>
    </row>
    <row r="192" spans="1:11" s="126" customFormat="1" ht="47.25" x14ac:dyDescent="0.2">
      <c r="A192" s="28">
        <f>IF(F192&lt;&gt;"",1+MAX($A$7:A191),"")</f>
        <v>164</v>
      </c>
      <c r="B192" s="43" t="s">
        <v>166</v>
      </c>
      <c r="C192" s="96">
        <v>1131.6400000000001</v>
      </c>
      <c r="D192" s="121">
        <v>0.1</v>
      </c>
      <c r="E192" s="96">
        <f>C192*(1+D192)</f>
        <v>1244.8040000000003</v>
      </c>
      <c r="F192" s="23" t="s">
        <v>21</v>
      </c>
      <c r="G192" s="141">
        <v>5.25</v>
      </c>
      <c r="H192" s="141">
        <v>9.75</v>
      </c>
      <c r="I192" s="128">
        <f t="shared" si="28"/>
        <v>15</v>
      </c>
      <c r="J192" s="127">
        <f>I192*E192</f>
        <v>18672.060000000005</v>
      </c>
      <c r="K192" s="129"/>
    </row>
    <row r="193" spans="1:11" s="126" customFormat="1" ht="47.25" x14ac:dyDescent="0.2">
      <c r="A193" s="28">
        <f>IF(F193&lt;&gt;"",1+MAX($A$7:A192),"")</f>
        <v>165</v>
      </c>
      <c r="B193" s="43" t="s">
        <v>309</v>
      </c>
      <c r="C193" s="96">
        <v>332.32</v>
      </c>
      <c r="D193" s="121">
        <v>0.1</v>
      </c>
      <c r="E193" s="96">
        <f>C193*(1+D193)</f>
        <v>365.55200000000002</v>
      </c>
      <c r="F193" s="23" t="s">
        <v>21</v>
      </c>
      <c r="G193" s="141">
        <v>4.1999999999999993</v>
      </c>
      <c r="H193" s="141">
        <v>7.8000000000000007</v>
      </c>
      <c r="I193" s="128">
        <f t="shared" si="28"/>
        <v>12</v>
      </c>
      <c r="J193" s="127">
        <f>I193*E193</f>
        <v>4386.6239999999998</v>
      </c>
      <c r="K193" s="129"/>
    </row>
    <row r="194" spans="1:11" s="126" customFormat="1" x14ac:dyDescent="0.2">
      <c r="A194" s="28">
        <f>IF(F194&lt;&gt;"",1+MAX($A$7:A193),"")</f>
        <v>166</v>
      </c>
      <c r="B194" s="43" t="s">
        <v>431</v>
      </c>
      <c r="C194" s="96">
        <v>111.211</v>
      </c>
      <c r="D194" s="121">
        <v>0.1</v>
      </c>
      <c r="E194" s="96">
        <f>C194*(1+D194)</f>
        <v>122.33210000000001</v>
      </c>
      <c r="F194" s="23" t="s">
        <v>21</v>
      </c>
      <c r="G194" s="141">
        <v>2.8</v>
      </c>
      <c r="H194" s="141">
        <v>5.2</v>
      </c>
      <c r="I194" s="128">
        <f t="shared" si="28"/>
        <v>8</v>
      </c>
      <c r="J194" s="127">
        <f>I194*E194</f>
        <v>978.65680000000009</v>
      </c>
      <c r="K194" s="129"/>
    </row>
    <row r="195" spans="1:11" s="126" customFormat="1" ht="31.5" x14ac:dyDescent="0.2">
      <c r="A195" s="28">
        <f>IF(F195&lt;&gt;"",1+MAX($A$7:A194),"")</f>
        <v>167</v>
      </c>
      <c r="B195" s="43" t="s">
        <v>167</v>
      </c>
      <c r="C195" s="96">
        <v>3900.56</v>
      </c>
      <c r="D195" s="121">
        <v>0.1</v>
      </c>
      <c r="E195" s="96">
        <f>C195*(1+D195)</f>
        <v>4290.616</v>
      </c>
      <c r="F195" s="23" t="s">
        <v>21</v>
      </c>
      <c r="G195" s="141">
        <v>5.25</v>
      </c>
      <c r="H195" s="141">
        <v>9.75</v>
      </c>
      <c r="I195" s="128">
        <f t="shared" si="28"/>
        <v>15</v>
      </c>
      <c r="J195" s="127">
        <f>I195*E195</f>
        <v>64359.24</v>
      </c>
      <c r="K195" s="129"/>
    </row>
    <row r="196" spans="1:11" s="126" customFormat="1" x14ac:dyDescent="0.2">
      <c r="A196" s="28" t="str">
        <f>IF(F196&lt;&gt;"",1+MAX($A$7:A195),"")</f>
        <v/>
      </c>
      <c r="B196" s="165" t="s">
        <v>168</v>
      </c>
      <c r="C196" s="96"/>
      <c r="D196" s="121"/>
      <c r="E196" s="96"/>
      <c r="F196" s="23"/>
      <c r="G196" s="23"/>
      <c r="H196" s="23"/>
      <c r="I196" s="128"/>
      <c r="J196" s="127"/>
      <c r="K196" s="129"/>
    </row>
    <row r="197" spans="1:11" s="126" customFormat="1" x14ac:dyDescent="0.2">
      <c r="A197" s="28">
        <f>IF(F197&lt;&gt;"",1+MAX($A$7:A196),"")</f>
        <v>168</v>
      </c>
      <c r="B197" s="43" t="s">
        <v>169</v>
      </c>
      <c r="C197" s="96">
        <v>5899</v>
      </c>
      <c r="D197" s="121">
        <v>0.1</v>
      </c>
      <c r="E197" s="96">
        <f>C197*(1+D197)</f>
        <v>6488.9000000000005</v>
      </c>
      <c r="F197" s="23" t="s">
        <v>21</v>
      </c>
      <c r="G197" s="141">
        <v>2.625</v>
      </c>
      <c r="H197" s="141">
        <v>4.875</v>
      </c>
      <c r="I197" s="128">
        <f t="shared" si="28"/>
        <v>7.5</v>
      </c>
      <c r="J197" s="127">
        <f>I197*E197</f>
        <v>48666.750000000007</v>
      </c>
      <c r="K197" s="129"/>
    </row>
    <row r="198" spans="1:11" s="126" customFormat="1" x14ac:dyDescent="0.2">
      <c r="A198" s="28">
        <f>IF(F198&lt;&gt;"",1+MAX($A$7:A197),"")</f>
        <v>169</v>
      </c>
      <c r="B198" s="43" t="s">
        <v>170</v>
      </c>
      <c r="C198" s="96">
        <v>413</v>
      </c>
      <c r="D198" s="121">
        <v>0.1</v>
      </c>
      <c r="E198" s="96">
        <f>C198*(1+D198)</f>
        <v>454.3</v>
      </c>
      <c r="F198" s="23" t="s">
        <v>21</v>
      </c>
      <c r="G198" s="141">
        <v>2.0999999999999996</v>
      </c>
      <c r="H198" s="141">
        <v>3.9000000000000004</v>
      </c>
      <c r="I198" s="128">
        <f t="shared" si="28"/>
        <v>6</v>
      </c>
      <c r="J198" s="127">
        <f>I198*E198</f>
        <v>2725.8</v>
      </c>
      <c r="K198" s="129"/>
    </row>
    <row r="199" spans="1:11" s="126" customFormat="1" x14ac:dyDescent="0.2">
      <c r="A199" s="28">
        <f>IF(F199&lt;&gt;"",1+MAX($A$7:A198),"")</f>
        <v>170</v>
      </c>
      <c r="B199" s="43" t="s">
        <v>172</v>
      </c>
      <c r="C199" s="96">
        <v>525</v>
      </c>
      <c r="D199" s="121">
        <v>0.1</v>
      </c>
      <c r="E199" s="96">
        <f>C199*(1+D199)</f>
        <v>577.5</v>
      </c>
      <c r="F199" s="23" t="s">
        <v>21</v>
      </c>
      <c r="G199" s="141">
        <v>3.5</v>
      </c>
      <c r="H199" s="141">
        <v>6.5</v>
      </c>
      <c r="I199" s="128">
        <f t="shared" si="28"/>
        <v>10</v>
      </c>
      <c r="J199" s="127">
        <f>I199*E199</f>
        <v>5775</v>
      </c>
      <c r="K199" s="129"/>
    </row>
    <row r="200" spans="1:11" s="126" customFormat="1" x14ac:dyDescent="0.2">
      <c r="A200" s="28">
        <f>IF(F200&lt;&gt;"",1+MAX($A$7:A199),"")</f>
        <v>171</v>
      </c>
      <c r="B200" s="43" t="s">
        <v>171</v>
      </c>
      <c r="C200" s="96">
        <v>420</v>
      </c>
      <c r="D200" s="121">
        <v>0.1</v>
      </c>
      <c r="E200" s="96">
        <f>C200*(1+D200)</f>
        <v>462.00000000000006</v>
      </c>
      <c r="F200" s="23" t="s">
        <v>21</v>
      </c>
      <c r="G200" s="141">
        <v>2.9749999999999996</v>
      </c>
      <c r="H200" s="141">
        <v>5.5250000000000004</v>
      </c>
      <c r="I200" s="128">
        <f t="shared" si="28"/>
        <v>8.5</v>
      </c>
      <c r="J200" s="127">
        <f>I200*E200</f>
        <v>3927.0000000000005</v>
      </c>
      <c r="K200" s="129"/>
    </row>
    <row r="201" spans="1:11" s="126" customFormat="1" x14ac:dyDescent="0.2">
      <c r="A201" s="28" t="str">
        <f>IF(F201&lt;&gt;"",1+MAX($A$7:A200),"")</f>
        <v/>
      </c>
      <c r="B201" s="165" t="s">
        <v>430</v>
      </c>
      <c r="C201" s="96"/>
      <c r="D201" s="121"/>
      <c r="E201" s="96"/>
      <c r="F201" s="23"/>
      <c r="G201" s="23"/>
      <c r="H201" s="23"/>
      <c r="I201" s="128"/>
      <c r="J201" s="127"/>
      <c r="K201" s="129"/>
    </row>
    <row r="202" spans="1:11" s="126" customFormat="1" ht="31.5" x14ac:dyDescent="0.2">
      <c r="A202" s="28">
        <f>IF(F202&lt;&gt;"",1+MAX($A$7:A201),"")</f>
        <v>172</v>
      </c>
      <c r="B202" s="43" t="s">
        <v>432</v>
      </c>
      <c r="C202" s="96">
        <v>80</v>
      </c>
      <c r="D202" s="121">
        <v>0.1</v>
      </c>
      <c r="E202" s="96">
        <f t="shared" ref="E202:E204" si="29">C202*(1+D202)</f>
        <v>88</v>
      </c>
      <c r="F202" s="23" t="s">
        <v>21</v>
      </c>
      <c r="G202" s="141">
        <v>4.1999999999999993</v>
      </c>
      <c r="H202" s="141">
        <v>7.8000000000000007</v>
      </c>
      <c r="I202" s="128">
        <f t="shared" si="28"/>
        <v>12</v>
      </c>
      <c r="J202" s="127">
        <f t="shared" ref="J202:J204" si="30">I202*E202</f>
        <v>1056</v>
      </c>
      <c r="K202" s="129"/>
    </row>
    <row r="203" spans="1:11" s="126" customFormat="1" ht="31.5" x14ac:dyDescent="0.2">
      <c r="A203" s="28">
        <f>IF(F203&lt;&gt;"",1+MAX($A$7:A202),"")</f>
        <v>173</v>
      </c>
      <c r="B203" s="43" t="s">
        <v>433</v>
      </c>
      <c r="C203" s="96">
        <v>35</v>
      </c>
      <c r="D203" s="121">
        <v>0.1</v>
      </c>
      <c r="E203" s="96">
        <f t="shared" si="29"/>
        <v>38.5</v>
      </c>
      <c r="F203" s="23" t="s">
        <v>21</v>
      </c>
      <c r="G203" s="141">
        <v>4.1999999999999993</v>
      </c>
      <c r="H203" s="141">
        <v>7.8000000000000007</v>
      </c>
      <c r="I203" s="128">
        <f t="shared" si="28"/>
        <v>12</v>
      </c>
      <c r="J203" s="127">
        <f t="shared" si="30"/>
        <v>462</v>
      </c>
      <c r="K203" s="129"/>
    </row>
    <row r="204" spans="1:11" s="126" customFormat="1" ht="31.5" x14ac:dyDescent="0.2">
      <c r="A204" s="28">
        <f>IF(F204&lt;&gt;"",1+MAX($A$7:A203),"")</f>
        <v>174</v>
      </c>
      <c r="B204" s="43" t="s">
        <v>434</v>
      </c>
      <c r="C204" s="96">
        <v>90</v>
      </c>
      <c r="D204" s="121">
        <v>0.1</v>
      </c>
      <c r="E204" s="96">
        <f t="shared" si="29"/>
        <v>99.000000000000014</v>
      </c>
      <c r="F204" s="23" t="s">
        <v>21</v>
      </c>
      <c r="G204" s="141">
        <v>4.1999999999999993</v>
      </c>
      <c r="H204" s="141">
        <v>7.8000000000000007</v>
      </c>
      <c r="I204" s="128">
        <f t="shared" si="28"/>
        <v>12</v>
      </c>
      <c r="J204" s="127">
        <f t="shared" si="30"/>
        <v>1188.0000000000002</v>
      </c>
      <c r="K204" s="129"/>
    </row>
    <row r="205" spans="1:11" s="126" customFormat="1" x14ac:dyDescent="0.2">
      <c r="A205" s="28">
        <f>IF(F205&lt;&gt;"",1+MAX($A$7:A204),"")</f>
        <v>175</v>
      </c>
      <c r="B205" s="43" t="s">
        <v>435</v>
      </c>
      <c r="C205" s="96">
        <v>405</v>
      </c>
      <c r="D205" s="121">
        <v>0.1</v>
      </c>
      <c r="E205" s="96">
        <f t="shared" ref="E205" si="31">C205*(1+D205)</f>
        <v>445.50000000000006</v>
      </c>
      <c r="F205" s="23" t="s">
        <v>21</v>
      </c>
      <c r="G205" s="141">
        <v>5.25</v>
      </c>
      <c r="H205" s="141">
        <v>9.75</v>
      </c>
      <c r="I205" s="128">
        <f t="shared" si="28"/>
        <v>15</v>
      </c>
      <c r="J205" s="127">
        <f t="shared" ref="J205" si="32">I205*E205</f>
        <v>6682.5000000000009</v>
      </c>
      <c r="K205" s="129"/>
    </row>
    <row r="206" spans="1:11" s="126" customFormat="1" x14ac:dyDescent="0.2">
      <c r="A206" s="28">
        <f>IF(F206&lt;&gt;"",1+MAX($A$7:A205),"")</f>
        <v>176</v>
      </c>
      <c r="B206" s="43" t="s">
        <v>438</v>
      </c>
      <c r="C206" s="96">
        <v>255</v>
      </c>
      <c r="D206" s="121">
        <v>0.1</v>
      </c>
      <c r="E206" s="96">
        <f t="shared" ref="E206" si="33">C206*(1+D206)</f>
        <v>280.5</v>
      </c>
      <c r="F206" s="23" t="s">
        <v>21</v>
      </c>
      <c r="G206" s="141">
        <v>15.749999999999998</v>
      </c>
      <c r="H206" s="141">
        <v>29.25</v>
      </c>
      <c r="I206" s="128">
        <f t="shared" si="28"/>
        <v>45</v>
      </c>
      <c r="J206" s="127">
        <f t="shared" ref="J206" si="34">I206*E206</f>
        <v>12622.5</v>
      </c>
      <c r="K206" s="129"/>
    </row>
    <row r="207" spans="1:11" s="126" customFormat="1" x14ac:dyDescent="0.2">
      <c r="A207" s="28" t="str">
        <f>IF(F207&lt;&gt;"",1+MAX($A$7:A206),"")</f>
        <v/>
      </c>
      <c r="B207" s="165" t="s">
        <v>385</v>
      </c>
      <c r="C207" s="96"/>
      <c r="D207" s="121"/>
      <c r="E207" s="96"/>
      <c r="F207" s="23"/>
      <c r="G207" s="23"/>
      <c r="H207" s="23"/>
      <c r="I207" s="128"/>
      <c r="J207" s="127"/>
      <c r="K207" s="129"/>
    </row>
    <row r="208" spans="1:11" s="126" customFormat="1" x14ac:dyDescent="0.2">
      <c r="A208" s="28">
        <f>IF(F208&lt;&gt;"",1+MAX($A$7:A207),"")</f>
        <v>177</v>
      </c>
      <c r="B208" s="43" t="s">
        <v>386</v>
      </c>
      <c r="C208" s="96">
        <v>5899</v>
      </c>
      <c r="D208" s="121">
        <v>0.1</v>
      </c>
      <c r="E208" s="96">
        <f>C208*(1+D208)</f>
        <v>6488.9000000000005</v>
      </c>
      <c r="F208" s="23" t="s">
        <v>21</v>
      </c>
      <c r="G208" s="141">
        <v>0.73499999999999999</v>
      </c>
      <c r="H208" s="141">
        <v>1.3650000000000002</v>
      </c>
      <c r="I208" s="128">
        <f t="shared" si="28"/>
        <v>2.1</v>
      </c>
      <c r="J208" s="127">
        <f>I208*E208</f>
        <v>13626.690000000002</v>
      </c>
      <c r="K208" s="129"/>
    </row>
    <row r="209" spans="1:11" s="126" customFormat="1" x14ac:dyDescent="0.2">
      <c r="A209" s="28">
        <f>IF(F209&lt;&gt;"",1+MAX($A$7:A208),"")</f>
        <v>178</v>
      </c>
      <c r="B209" s="43" t="s">
        <v>387</v>
      </c>
      <c r="C209" s="96">
        <v>20850.28</v>
      </c>
      <c r="D209" s="121">
        <v>0.1</v>
      </c>
      <c r="E209" s="96">
        <f>C209*(1+D209)</f>
        <v>22935.308000000001</v>
      </c>
      <c r="F209" s="23" t="s">
        <v>21</v>
      </c>
      <c r="G209" s="141">
        <v>0.59499999999999997</v>
      </c>
      <c r="H209" s="141">
        <v>1.105</v>
      </c>
      <c r="I209" s="128">
        <f t="shared" si="28"/>
        <v>1.7</v>
      </c>
      <c r="J209" s="127">
        <f>I209*E209</f>
        <v>38990.0236</v>
      </c>
      <c r="K209" s="129"/>
    </row>
    <row r="210" spans="1:11" s="126" customFormat="1" x14ac:dyDescent="0.2">
      <c r="A210" s="28">
        <f>IF(F210&lt;&gt;"",1+MAX($A$7:A209),"")</f>
        <v>179</v>
      </c>
      <c r="B210" s="43" t="s">
        <v>388</v>
      </c>
      <c r="C210" s="96">
        <v>43</v>
      </c>
      <c r="D210" s="121">
        <v>0</v>
      </c>
      <c r="E210" s="96">
        <f>C210*(1+D210)</f>
        <v>43</v>
      </c>
      <c r="F210" s="23" t="s">
        <v>106</v>
      </c>
      <c r="G210" s="141">
        <v>22.75</v>
      </c>
      <c r="H210" s="141">
        <v>42.25</v>
      </c>
      <c r="I210" s="128">
        <f t="shared" si="28"/>
        <v>65</v>
      </c>
      <c r="J210" s="127">
        <f>I210*E210</f>
        <v>2795</v>
      </c>
      <c r="K210" s="129"/>
    </row>
    <row r="211" spans="1:11" s="126" customFormat="1" x14ac:dyDescent="0.2">
      <c r="A211" s="28">
        <f>IF(F211&lt;&gt;"",1+MAX($A$7:A210),"")</f>
        <v>180</v>
      </c>
      <c r="B211" s="43" t="s">
        <v>389</v>
      </c>
      <c r="C211" s="96">
        <f>43*40</f>
        <v>1720</v>
      </c>
      <c r="D211" s="121">
        <v>0.1</v>
      </c>
      <c r="E211" s="96">
        <f>C211*(1+D211)</f>
        <v>1892.0000000000002</v>
      </c>
      <c r="F211" s="23" t="s">
        <v>153</v>
      </c>
      <c r="G211" s="141">
        <v>0.35</v>
      </c>
      <c r="H211" s="141">
        <v>0.65</v>
      </c>
      <c r="I211" s="128">
        <f t="shared" si="28"/>
        <v>1</v>
      </c>
      <c r="J211" s="127">
        <f>I211*E211</f>
        <v>1892.0000000000002</v>
      </c>
      <c r="K211" s="129"/>
    </row>
    <row r="212" spans="1:11" s="126" customFormat="1" x14ac:dyDescent="0.2">
      <c r="A212" s="28">
        <f>IF(F212&lt;&gt;"",1+MAX($A$7:A211),"")</f>
        <v>181</v>
      </c>
      <c r="B212" s="43" t="s">
        <v>390</v>
      </c>
      <c r="C212" s="96">
        <v>100</v>
      </c>
      <c r="D212" s="121">
        <v>0.1</v>
      </c>
      <c r="E212" s="96">
        <f>C212*(1+D212)</f>
        <v>110.00000000000001</v>
      </c>
      <c r="F212" s="23" t="s">
        <v>153</v>
      </c>
      <c r="G212" s="141">
        <v>0.35</v>
      </c>
      <c r="H212" s="141">
        <v>0.65</v>
      </c>
      <c r="I212" s="128">
        <f t="shared" si="28"/>
        <v>1</v>
      </c>
      <c r="J212" s="127">
        <f>I212*E212</f>
        <v>110.00000000000001</v>
      </c>
      <c r="K212" s="129"/>
    </row>
    <row r="213" spans="1:11" s="151" customFormat="1" x14ac:dyDescent="0.2">
      <c r="A213" s="146" t="str">
        <f>IF(F213&lt;&gt;"",1+MAX($A$7:A212),"")</f>
        <v/>
      </c>
      <c r="B213" s="147" t="s">
        <v>377</v>
      </c>
      <c r="C213" s="148"/>
      <c r="D213" s="148"/>
      <c r="E213" s="148"/>
      <c r="F213" s="149"/>
      <c r="G213" s="149"/>
      <c r="H213" s="149"/>
      <c r="I213" s="147"/>
      <c r="J213" s="147"/>
      <c r="K213" s="150">
        <f>SUM(J214:J220)</f>
        <v>27180</v>
      </c>
    </row>
    <row r="214" spans="1:11" s="126" customFormat="1" x14ac:dyDescent="0.2">
      <c r="A214" s="28">
        <f>IF(F214&lt;&gt;"",1+MAX($A$7:A213),"")</f>
        <v>182</v>
      </c>
      <c r="B214" s="43" t="s">
        <v>378</v>
      </c>
      <c r="C214" s="96">
        <v>4</v>
      </c>
      <c r="D214" s="121">
        <v>0</v>
      </c>
      <c r="E214" s="96">
        <f t="shared" ref="E214:E220" si="35">C214*(1+D214)</f>
        <v>4</v>
      </c>
      <c r="F214" s="23" t="s">
        <v>106</v>
      </c>
      <c r="G214" s="141">
        <v>525</v>
      </c>
      <c r="H214" s="141">
        <v>975</v>
      </c>
      <c r="I214" s="128">
        <f t="shared" si="28"/>
        <v>1500</v>
      </c>
      <c r="J214" s="127">
        <f t="shared" ref="J214:J220" si="36">I214*E214</f>
        <v>6000</v>
      </c>
      <c r="K214" s="129"/>
    </row>
    <row r="215" spans="1:11" s="126" customFormat="1" x14ac:dyDescent="0.2">
      <c r="A215" s="28">
        <f>IF(F215&lt;&gt;"",1+MAX($A$7:A214),"")</f>
        <v>183</v>
      </c>
      <c r="B215" s="43" t="s">
        <v>379</v>
      </c>
      <c r="C215" s="96">
        <v>3</v>
      </c>
      <c r="D215" s="121">
        <v>0</v>
      </c>
      <c r="E215" s="96">
        <f t="shared" si="35"/>
        <v>3</v>
      </c>
      <c r="F215" s="23" t="s">
        <v>106</v>
      </c>
      <c r="G215" s="141">
        <v>770</v>
      </c>
      <c r="H215" s="141">
        <v>1430</v>
      </c>
      <c r="I215" s="128">
        <f t="shared" si="28"/>
        <v>2200</v>
      </c>
      <c r="J215" s="127">
        <f t="shared" si="36"/>
        <v>6600</v>
      </c>
      <c r="K215" s="129"/>
    </row>
    <row r="216" spans="1:11" s="126" customFormat="1" x14ac:dyDescent="0.2">
      <c r="A216" s="28">
        <f>IF(F216&lt;&gt;"",1+MAX($A$7:A215),"")</f>
        <v>184</v>
      </c>
      <c r="B216" s="43" t="s">
        <v>380</v>
      </c>
      <c r="C216" s="96">
        <v>45</v>
      </c>
      <c r="D216" s="121">
        <v>0</v>
      </c>
      <c r="E216" s="96">
        <f t="shared" si="35"/>
        <v>45</v>
      </c>
      <c r="F216" s="23" t="s">
        <v>153</v>
      </c>
      <c r="G216" s="141">
        <v>7</v>
      </c>
      <c r="H216" s="141">
        <v>13</v>
      </c>
      <c r="I216" s="128">
        <f t="shared" si="28"/>
        <v>20</v>
      </c>
      <c r="J216" s="127">
        <f t="shared" si="36"/>
        <v>900</v>
      </c>
      <c r="K216" s="129"/>
    </row>
    <row r="217" spans="1:11" s="126" customFormat="1" x14ac:dyDescent="0.2">
      <c r="A217" s="28">
        <f>IF(F217&lt;&gt;"",1+MAX($A$7:A216),"")</f>
        <v>185</v>
      </c>
      <c r="B217" s="43" t="s">
        <v>381</v>
      </c>
      <c r="C217" s="96">
        <v>10</v>
      </c>
      <c r="D217" s="121">
        <v>0</v>
      </c>
      <c r="E217" s="96">
        <f t="shared" si="35"/>
        <v>10</v>
      </c>
      <c r="F217" s="23" t="s">
        <v>106</v>
      </c>
      <c r="G217" s="141">
        <v>140</v>
      </c>
      <c r="H217" s="141">
        <v>260</v>
      </c>
      <c r="I217" s="128">
        <f t="shared" si="28"/>
        <v>400</v>
      </c>
      <c r="J217" s="127">
        <f t="shared" si="36"/>
        <v>4000</v>
      </c>
      <c r="K217" s="129"/>
    </row>
    <row r="218" spans="1:11" s="126" customFormat="1" x14ac:dyDescent="0.2">
      <c r="A218" s="28">
        <f>IF(F218&lt;&gt;"",1+MAX($A$7:A217),"")</f>
        <v>186</v>
      </c>
      <c r="B218" s="43" t="s">
        <v>382</v>
      </c>
      <c r="C218" s="96">
        <f>15*8</f>
        <v>120</v>
      </c>
      <c r="D218" s="121">
        <v>0</v>
      </c>
      <c r="E218" s="96">
        <f t="shared" si="35"/>
        <v>120</v>
      </c>
      <c r="F218" s="23" t="s">
        <v>21</v>
      </c>
      <c r="G218" s="141">
        <v>15.749999999999998</v>
      </c>
      <c r="H218" s="141">
        <v>29.25</v>
      </c>
      <c r="I218" s="128">
        <f t="shared" si="28"/>
        <v>45</v>
      </c>
      <c r="J218" s="127">
        <f t="shared" si="36"/>
        <v>5400</v>
      </c>
      <c r="K218" s="129"/>
    </row>
    <row r="219" spans="1:11" s="126" customFormat="1" x14ac:dyDescent="0.2">
      <c r="A219" s="28">
        <f>IF(F219&lt;&gt;"",1+MAX($A$7:A218),"")</f>
        <v>187</v>
      </c>
      <c r="B219" s="43" t="s">
        <v>383</v>
      </c>
      <c r="C219" s="96">
        <v>616</v>
      </c>
      <c r="D219" s="121">
        <v>0</v>
      </c>
      <c r="E219" s="96">
        <f t="shared" si="35"/>
        <v>616</v>
      </c>
      <c r="F219" s="23" t="s">
        <v>153</v>
      </c>
      <c r="G219" s="141">
        <v>1.75</v>
      </c>
      <c r="H219" s="141">
        <v>3.25</v>
      </c>
      <c r="I219" s="128">
        <f t="shared" si="28"/>
        <v>5</v>
      </c>
      <c r="J219" s="127">
        <f t="shared" si="36"/>
        <v>3080</v>
      </c>
      <c r="K219" s="129"/>
    </row>
    <row r="220" spans="1:11" s="126" customFormat="1" x14ac:dyDescent="0.2">
      <c r="A220" s="28">
        <f>IF(F220&lt;&gt;"",1+MAX($A$7:A219),"")</f>
        <v>188</v>
      </c>
      <c r="B220" s="43" t="s">
        <v>384</v>
      </c>
      <c r="C220" s="96">
        <v>1</v>
      </c>
      <c r="D220" s="121">
        <v>0</v>
      </c>
      <c r="E220" s="96">
        <f t="shared" si="35"/>
        <v>1</v>
      </c>
      <c r="F220" s="23" t="s">
        <v>106</v>
      </c>
      <c r="G220" s="141">
        <v>420</v>
      </c>
      <c r="H220" s="141">
        <v>780</v>
      </c>
      <c r="I220" s="128">
        <f t="shared" si="28"/>
        <v>1200</v>
      </c>
      <c r="J220" s="127">
        <f t="shared" si="36"/>
        <v>1200</v>
      </c>
      <c r="K220" s="129"/>
    </row>
    <row r="221" spans="1:11" s="151" customFormat="1" x14ac:dyDescent="0.2">
      <c r="A221" s="146" t="str">
        <f>IF(F221&lt;&gt;"",1+MAX($A$7:A220),"")</f>
        <v/>
      </c>
      <c r="B221" s="147" t="s">
        <v>424</v>
      </c>
      <c r="C221" s="148"/>
      <c r="D221" s="148"/>
      <c r="E221" s="148"/>
      <c r="F221" s="149"/>
      <c r="G221" s="149"/>
      <c r="H221" s="149"/>
      <c r="I221" s="147"/>
      <c r="J221" s="147"/>
      <c r="K221" s="150">
        <f>SUM(J222:J226)</f>
        <v>186598.84444444446</v>
      </c>
    </row>
    <row r="222" spans="1:11" s="126" customFormat="1" x14ac:dyDescent="0.2">
      <c r="A222" s="28">
        <f>IF(F222&lt;&gt;"",1+MAX($A$7:A221),"")</f>
        <v>189</v>
      </c>
      <c r="B222" s="43" t="s">
        <v>425</v>
      </c>
      <c r="C222" s="96">
        <f>2963*12*1.25/27</f>
        <v>1646.1111111111111</v>
      </c>
      <c r="D222" s="121">
        <v>0</v>
      </c>
      <c r="E222" s="96">
        <f t="shared" ref="E222" si="37">C222*(1+D222)</f>
        <v>1646.1111111111111</v>
      </c>
      <c r="F222" s="23" t="s">
        <v>102</v>
      </c>
      <c r="G222" s="128">
        <v>70</v>
      </c>
      <c r="H222" s="23"/>
      <c r="I222" s="128">
        <f t="shared" si="28"/>
        <v>70</v>
      </c>
      <c r="J222" s="127">
        <f t="shared" ref="J222" si="38">I222*E222</f>
        <v>115227.77777777778</v>
      </c>
      <c r="K222" s="129"/>
    </row>
    <row r="223" spans="1:11" s="126" customFormat="1" x14ac:dyDescent="0.2">
      <c r="A223" s="28" t="str">
        <f>IF(F223&lt;&gt;"",1+MAX($A$7:A222),"")</f>
        <v/>
      </c>
      <c r="B223" s="137" t="s">
        <v>426</v>
      </c>
      <c r="C223" s="96"/>
      <c r="D223" s="121"/>
      <c r="E223" s="96"/>
      <c r="F223" s="23"/>
      <c r="G223" s="23"/>
      <c r="H223" s="23"/>
      <c r="I223" s="128"/>
      <c r="J223" s="127"/>
      <c r="K223" s="129"/>
    </row>
    <row r="224" spans="1:11" s="126" customFormat="1" x14ac:dyDescent="0.2">
      <c r="A224" s="28">
        <f>IF(F224&lt;&gt;"",1+MAX($A$7:A223),"")</f>
        <v>190</v>
      </c>
      <c r="B224" s="43" t="s">
        <v>427</v>
      </c>
      <c r="C224" s="96">
        <f>64*14</f>
        <v>896</v>
      </c>
      <c r="D224" s="121">
        <v>0</v>
      </c>
      <c r="E224" s="96">
        <f t="shared" ref="E224:E226" si="39">C224*(1+D224)</f>
        <v>896</v>
      </c>
      <c r="F224" s="23" t="s">
        <v>21</v>
      </c>
      <c r="G224" s="141">
        <v>1.4</v>
      </c>
      <c r="H224" s="141">
        <v>2.6</v>
      </c>
      <c r="I224" s="128">
        <f t="shared" si="28"/>
        <v>4</v>
      </c>
      <c r="J224" s="127">
        <f t="shared" ref="J224:J226" si="40">I224*E224</f>
        <v>3584</v>
      </c>
      <c r="K224" s="129"/>
    </row>
    <row r="225" spans="1:11" s="126" customFormat="1" x14ac:dyDescent="0.2">
      <c r="A225" s="28">
        <f>IF(F225&lt;&gt;"",1+MAX($A$7:A224),"")</f>
        <v>191</v>
      </c>
      <c r="B225" s="43" t="s">
        <v>428</v>
      </c>
      <c r="C225" s="96">
        <f>9*36*45</f>
        <v>14580</v>
      </c>
      <c r="D225" s="121">
        <v>0</v>
      </c>
      <c r="E225" s="96">
        <f t="shared" si="39"/>
        <v>14580</v>
      </c>
      <c r="F225" s="23" t="s">
        <v>206</v>
      </c>
      <c r="G225" s="141">
        <v>1.575</v>
      </c>
      <c r="H225" s="141">
        <v>2.9249999999999998</v>
      </c>
      <c r="I225" s="128">
        <f t="shared" si="28"/>
        <v>4.5</v>
      </c>
      <c r="J225" s="127">
        <f t="shared" si="40"/>
        <v>65610</v>
      </c>
      <c r="K225" s="129"/>
    </row>
    <row r="226" spans="1:11" s="126" customFormat="1" x14ac:dyDescent="0.2">
      <c r="A226" s="28">
        <f>IF(F226&lt;&gt;"",1+MAX($A$7:A225),"")</f>
        <v>192</v>
      </c>
      <c r="B226" s="43" t="s">
        <v>429</v>
      </c>
      <c r="C226" s="136">
        <f>113.04/27</f>
        <v>4.1866666666666665</v>
      </c>
      <c r="D226" s="121">
        <v>0</v>
      </c>
      <c r="E226" s="136">
        <f t="shared" si="39"/>
        <v>4.1866666666666665</v>
      </c>
      <c r="F226" s="23" t="s">
        <v>102</v>
      </c>
      <c r="G226" s="141">
        <v>182</v>
      </c>
      <c r="H226" s="141">
        <v>338</v>
      </c>
      <c r="I226" s="128">
        <f t="shared" si="28"/>
        <v>520</v>
      </c>
      <c r="J226" s="127">
        <f t="shared" si="40"/>
        <v>2177.0666666666666</v>
      </c>
      <c r="K226" s="129"/>
    </row>
    <row r="227" spans="1:11" s="151" customFormat="1" x14ac:dyDescent="0.2">
      <c r="A227" s="146" t="str">
        <f>IF(F227&lt;&gt;"",1+MAX($A$7:A226),"")</f>
        <v/>
      </c>
      <c r="B227" s="147" t="s">
        <v>225</v>
      </c>
      <c r="C227" s="148"/>
      <c r="D227" s="148"/>
      <c r="E227" s="148"/>
      <c r="F227" s="149"/>
      <c r="G227" s="149"/>
      <c r="H227" s="149"/>
      <c r="I227" s="147"/>
      <c r="J227" s="147"/>
      <c r="K227" s="150">
        <f>SUM(J228:J247)</f>
        <v>213950.72999999998</v>
      </c>
    </row>
    <row r="228" spans="1:11" s="126" customFormat="1" x14ac:dyDescent="0.2">
      <c r="A228" s="28">
        <f>IF(F228&lt;&gt;"",1+MAX($A$7:A227),"")</f>
        <v>193</v>
      </c>
      <c r="B228" s="43" t="s">
        <v>226</v>
      </c>
      <c r="C228" s="96">
        <v>58</v>
      </c>
      <c r="D228" s="121">
        <v>0</v>
      </c>
      <c r="E228" s="96">
        <f t="shared" ref="E228:E234" si="41">C228*(1+D228)</f>
        <v>58</v>
      </c>
      <c r="F228" s="23" t="s">
        <v>106</v>
      </c>
      <c r="G228" s="141">
        <v>180</v>
      </c>
      <c r="H228" s="141">
        <v>270</v>
      </c>
      <c r="I228" s="128">
        <f>G228+H228</f>
        <v>450</v>
      </c>
      <c r="J228" s="127">
        <f t="shared" ref="J228:J234" si="42">I228*E228</f>
        <v>26100</v>
      </c>
      <c r="K228" s="129"/>
    </row>
    <row r="229" spans="1:11" s="126" customFormat="1" x14ac:dyDescent="0.2">
      <c r="A229" s="28">
        <f>IF(F229&lt;&gt;"",1+MAX($A$7:A228),"")</f>
        <v>194</v>
      </c>
      <c r="B229" s="43" t="s">
        <v>227</v>
      </c>
      <c r="C229" s="96">
        <v>35</v>
      </c>
      <c r="D229" s="121">
        <v>0</v>
      </c>
      <c r="E229" s="96">
        <f t="shared" si="41"/>
        <v>35</v>
      </c>
      <c r="F229" s="23" t="s">
        <v>106</v>
      </c>
      <c r="G229" s="141">
        <v>200</v>
      </c>
      <c r="H229" s="141">
        <v>300</v>
      </c>
      <c r="I229" s="128">
        <f t="shared" ref="I229:I292" si="43">G229+H229</f>
        <v>500</v>
      </c>
      <c r="J229" s="127">
        <f t="shared" si="42"/>
        <v>17500</v>
      </c>
      <c r="K229" s="129"/>
    </row>
    <row r="230" spans="1:11" s="126" customFormat="1" x14ac:dyDescent="0.2">
      <c r="A230" s="28">
        <f>IF(F230&lt;&gt;"",1+MAX($A$7:A229),"")</f>
        <v>195</v>
      </c>
      <c r="B230" s="43" t="s">
        <v>228</v>
      </c>
      <c r="C230" s="96">
        <v>36</v>
      </c>
      <c r="D230" s="121">
        <v>0</v>
      </c>
      <c r="E230" s="96">
        <f t="shared" si="41"/>
        <v>36</v>
      </c>
      <c r="F230" s="23" t="s">
        <v>106</v>
      </c>
      <c r="G230" s="141">
        <v>200</v>
      </c>
      <c r="H230" s="141">
        <v>300</v>
      </c>
      <c r="I230" s="128">
        <f t="shared" si="43"/>
        <v>500</v>
      </c>
      <c r="J230" s="127">
        <f t="shared" si="42"/>
        <v>18000</v>
      </c>
      <c r="K230" s="129"/>
    </row>
    <row r="231" spans="1:11" s="126" customFormat="1" x14ac:dyDescent="0.2">
      <c r="A231" s="28">
        <f>IF(F231&lt;&gt;"",1+MAX($A$7:A230),"")</f>
        <v>196</v>
      </c>
      <c r="B231" s="43" t="s">
        <v>229</v>
      </c>
      <c r="C231" s="96">
        <v>2</v>
      </c>
      <c r="D231" s="121">
        <v>0</v>
      </c>
      <c r="E231" s="96">
        <f t="shared" si="41"/>
        <v>2</v>
      </c>
      <c r="F231" s="23" t="s">
        <v>106</v>
      </c>
      <c r="G231" s="141">
        <v>160</v>
      </c>
      <c r="H231" s="141">
        <v>240</v>
      </c>
      <c r="I231" s="128">
        <f t="shared" si="43"/>
        <v>400</v>
      </c>
      <c r="J231" s="127">
        <f t="shared" si="42"/>
        <v>800</v>
      </c>
      <c r="K231" s="129"/>
    </row>
    <row r="232" spans="1:11" s="126" customFormat="1" x14ac:dyDescent="0.2">
      <c r="A232" s="28">
        <f>IF(F232&lt;&gt;"",1+MAX($A$7:A231),"")</f>
        <v>197</v>
      </c>
      <c r="B232" s="43" t="s">
        <v>230</v>
      </c>
      <c r="C232" s="96">
        <v>6</v>
      </c>
      <c r="D232" s="121">
        <v>0</v>
      </c>
      <c r="E232" s="96">
        <f t="shared" si="41"/>
        <v>6</v>
      </c>
      <c r="F232" s="23" t="s">
        <v>106</v>
      </c>
      <c r="G232" s="141">
        <v>220</v>
      </c>
      <c r="H232" s="141">
        <v>330</v>
      </c>
      <c r="I232" s="128">
        <f t="shared" si="43"/>
        <v>550</v>
      </c>
      <c r="J232" s="127">
        <f t="shared" si="42"/>
        <v>3300</v>
      </c>
      <c r="K232" s="129"/>
    </row>
    <row r="233" spans="1:11" s="126" customFormat="1" x14ac:dyDescent="0.2">
      <c r="A233" s="28">
        <f>IF(F233&lt;&gt;"",1+MAX($A$7:A232),"")</f>
        <v>198</v>
      </c>
      <c r="B233" s="43" t="s">
        <v>231</v>
      </c>
      <c r="C233" s="96">
        <v>3</v>
      </c>
      <c r="D233" s="121">
        <v>0</v>
      </c>
      <c r="E233" s="96">
        <f t="shared" si="41"/>
        <v>3</v>
      </c>
      <c r="F233" s="23" t="s">
        <v>106</v>
      </c>
      <c r="G233" s="141">
        <v>220</v>
      </c>
      <c r="H233" s="141">
        <v>330</v>
      </c>
      <c r="I233" s="128">
        <f t="shared" si="43"/>
        <v>550</v>
      </c>
      <c r="J233" s="127">
        <f t="shared" si="42"/>
        <v>1650</v>
      </c>
      <c r="K233" s="129"/>
    </row>
    <row r="234" spans="1:11" s="126" customFormat="1" x14ac:dyDescent="0.2">
      <c r="A234" s="28">
        <f>IF(F234&lt;&gt;"",1+MAX($A$7:A233),"")</f>
        <v>199</v>
      </c>
      <c r="B234" s="43" t="s">
        <v>232</v>
      </c>
      <c r="C234" s="96">
        <v>16</v>
      </c>
      <c r="D234" s="121">
        <v>0</v>
      </c>
      <c r="E234" s="96">
        <f t="shared" si="41"/>
        <v>16</v>
      </c>
      <c r="F234" s="23" t="s">
        <v>106</v>
      </c>
      <c r="G234" s="141">
        <v>260</v>
      </c>
      <c r="H234" s="141">
        <v>390</v>
      </c>
      <c r="I234" s="128">
        <f t="shared" si="43"/>
        <v>650</v>
      </c>
      <c r="J234" s="127">
        <f t="shared" si="42"/>
        <v>10400</v>
      </c>
      <c r="K234" s="129"/>
    </row>
    <row r="235" spans="1:11" s="126" customFormat="1" x14ac:dyDescent="0.2">
      <c r="A235" s="28">
        <f>IF(F235&lt;&gt;"",1+MAX($A$7:A234),"")</f>
        <v>200</v>
      </c>
      <c r="B235" s="43" t="s">
        <v>233</v>
      </c>
      <c r="C235" s="96">
        <v>122</v>
      </c>
      <c r="D235" s="121">
        <v>0</v>
      </c>
      <c r="E235" s="96">
        <f t="shared" ref="E235:E247" si="44">C235*(1+D235)</f>
        <v>122</v>
      </c>
      <c r="F235" s="23" t="s">
        <v>106</v>
      </c>
      <c r="G235" s="141">
        <v>100</v>
      </c>
      <c r="H235" s="141">
        <v>150</v>
      </c>
      <c r="I235" s="128">
        <f t="shared" si="43"/>
        <v>250</v>
      </c>
      <c r="J235" s="127">
        <f t="shared" ref="J235:J242" si="45">I235*E235</f>
        <v>30500</v>
      </c>
      <c r="K235" s="129"/>
    </row>
    <row r="236" spans="1:11" s="126" customFormat="1" x14ac:dyDescent="0.2">
      <c r="A236" s="28">
        <f>IF(F236&lt;&gt;"",1+MAX($A$7:A235),"")</f>
        <v>201</v>
      </c>
      <c r="B236" s="43" t="s">
        <v>234</v>
      </c>
      <c r="C236" s="96">
        <v>16</v>
      </c>
      <c r="D236" s="121">
        <v>0</v>
      </c>
      <c r="E236" s="96">
        <f t="shared" si="44"/>
        <v>16</v>
      </c>
      <c r="F236" s="23" t="s">
        <v>106</v>
      </c>
      <c r="G236" s="141">
        <v>260</v>
      </c>
      <c r="H236" s="141">
        <v>390</v>
      </c>
      <c r="I236" s="128">
        <f t="shared" si="43"/>
        <v>650</v>
      </c>
      <c r="J236" s="127">
        <f t="shared" si="45"/>
        <v>10400</v>
      </c>
      <c r="K236" s="129"/>
    </row>
    <row r="237" spans="1:11" s="126" customFormat="1" x14ac:dyDescent="0.2">
      <c r="A237" s="28">
        <f>IF(F237&lt;&gt;"",1+MAX($A$7:A236),"")</f>
        <v>202</v>
      </c>
      <c r="B237" s="43" t="s">
        <v>235</v>
      </c>
      <c r="C237" s="96">
        <v>70</v>
      </c>
      <c r="D237" s="121">
        <v>0</v>
      </c>
      <c r="E237" s="96">
        <f t="shared" si="44"/>
        <v>70</v>
      </c>
      <c r="F237" s="23" t="s">
        <v>106</v>
      </c>
      <c r="G237" s="141">
        <v>80</v>
      </c>
      <c r="H237" s="141">
        <v>120</v>
      </c>
      <c r="I237" s="128">
        <f t="shared" si="43"/>
        <v>200</v>
      </c>
      <c r="J237" s="127">
        <f t="shared" si="45"/>
        <v>14000</v>
      </c>
      <c r="K237" s="129"/>
    </row>
    <row r="238" spans="1:11" s="126" customFormat="1" x14ac:dyDescent="0.2">
      <c r="A238" s="28">
        <f>IF(F238&lt;&gt;"",1+MAX($A$7:A237),"")</f>
        <v>203</v>
      </c>
      <c r="B238" s="43" t="s">
        <v>236</v>
      </c>
      <c r="C238" s="96">
        <v>30</v>
      </c>
      <c r="D238" s="121">
        <v>0</v>
      </c>
      <c r="E238" s="96">
        <f t="shared" si="44"/>
        <v>30</v>
      </c>
      <c r="F238" s="23" t="s">
        <v>106</v>
      </c>
      <c r="G238" s="141">
        <v>100</v>
      </c>
      <c r="H238" s="141">
        <v>150</v>
      </c>
      <c r="I238" s="128">
        <f t="shared" si="43"/>
        <v>250</v>
      </c>
      <c r="J238" s="127">
        <f t="shared" si="45"/>
        <v>7500</v>
      </c>
      <c r="K238" s="129"/>
    </row>
    <row r="239" spans="1:11" s="126" customFormat="1" x14ac:dyDescent="0.2">
      <c r="A239" s="28">
        <f>IF(F239&lt;&gt;"",1+MAX($A$7:A238),"")</f>
        <v>204</v>
      </c>
      <c r="B239" s="43" t="s">
        <v>237</v>
      </c>
      <c r="C239" s="96">
        <v>17</v>
      </c>
      <c r="D239" s="121">
        <v>0</v>
      </c>
      <c r="E239" s="96">
        <f t="shared" si="44"/>
        <v>17</v>
      </c>
      <c r="F239" s="23" t="s">
        <v>106</v>
      </c>
      <c r="G239" s="141">
        <v>140</v>
      </c>
      <c r="H239" s="141">
        <v>210</v>
      </c>
      <c r="I239" s="128">
        <f t="shared" si="43"/>
        <v>350</v>
      </c>
      <c r="J239" s="127">
        <f t="shared" si="45"/>
        <v>5950</v>
      </c>
      <c r="K239" s="129"/>
    </row>
    <row r="240" spans="1:11" s="126" customFormat="1" x14ac:dyDescent="0.2">
      <c r="A240" s="28">
        <f>IF(F240&lt;&gt;"",1+MAX($A$7:A239),"")</f>
        <v>205</v>
      </c>
      <c r="B240" s="43" t="s">
        <v>238</v>
      </c>
      <c r="C240" s="96">
        <v>27</v>
      </c>
      <c r="D240" s="121">
        <v>0</v>
      </c>
      <c r="E240" s="96">
        <f t="shared" si="44"/>
        <v>27</v>
      </c>
      <c r="F240" s="23" t="s">
        <v>106</v>
      </c>
      <c r="G240" s="141">
        <v>180</v>
      </c>
      <c r="H240" s="141">
        <v>270</v>
      </c>
      <c r="I240" s="128">
        <f t="shared" si="43"/>
        <v>450</v>
      </c>
      <c r="J240" s="127">
        <f t="shared" si="45"/>
        <v>12150</v>
      </c>
      <c r="K240" s="129"/>
    </row>
    <row r="241" spans="1:11" s="126" customFormat="1" x14ac:dyDescent="0.2">
      <c r="A241" s="28">
        <f>IF(F241&lt;&gt;"",1+MAX($A$7:A240),"")</f>
        <v>206</v>
      </c>
      <c r="B241" s="43" t="s">
        <v>239</v>
      </c>
      <c r="C241" s="96">
        <v>29</v>
      </c>
      <c r="D241" s="121">
        <v>0</v>
      </c>
      <c r="E241" s="96">
        <f t="shared" si="44"/>
        <v>29</v>
      </c>
      <c r="F241" s="23" t="s">
        <v>106</v>
      </c>
      <c r="G241" s="141">
        <v>220</v>
      </c>
      <c r="H241" s="141">
        <v>330</v>
      </c>
      <c r="I241" s="128">
        <f t="shared" si="43"/>
        <v>550</v>
      </c>
      <c r="J241" s="127">
        <f t="shared" si="45"/>
        <v>15950</v>
      </c>
      <c r="K241" s="129"/>
    </row>
    <row r="242" spans="1:11" s="126" customFormat="1" x14ac:dyDescent="0.2">
      <c r="A242" s="28">
        <f>IF(F242&lt;&gt;"",1+MAX($A$7:A241),"")</f>
        <v>207</v>
      </c>
      <c r="B242" s="43" t="s">
        <v>240</v>
      </c>
      <c r="C242" s="96">
        <v>4</v>
      </c>
      <c r="D242" s="121">
        <v>0</v>
      </c>
      <c r="E242" s="96">
        <f t="shared" si="44"/>
        <v>4</v>
      </c>
      <c r="F242" s="23" t="s">
        <v>106</v>
      </c>
      <c r="G242" s="141">
        <v>240</v>
      </c>
      <c r="H242" s="141">
        <v>360</v>
      </c>
      <c r="I242" s="128">
        <f t="shared" si="43"/>
        <v>600</v>
      </c>
      <c r="J242" s="127">
        <f t="shared" si="45"/>
        <v>2400</v>
      </c>
      <c r="K242" s="129"/>
    </row>
    <row r="243" spans="1:11" s="126" customFormat="1" x14ac:dyDescent="0.2">
      <c r="A243" s="28">
        <f>IF(F243&lt;&gt;"",1+MAX($A$7:A242),"")</f>
        <v>208</v>
      </c>
      <c r="B243" s="43" t="s">
        <v>241</v>
      </c>
      <c r="C243" s="96">
        <v>22</v>
      </c>
      <c r="D243" s="121">
        <v>0</v>
      </c>
      <c r="E243" s="96">
        <f t="shared" si="44"/>
        <v>22</v>
      </c>
      <c r="F243" s="23" t="s">
        <v>106</v>
      </c>
      <c r="G243" s="141">
        <v>240</v>
      </c>
      <c r="H243" s="141">
        <v>360</v>
      </c>
      <c r="I243" s="128">
        <f t="shared" si="43"/>
        <v>600</v>
      </c>
      <c r="J243" s="127">
        <f>I243*E243</f>
        <v>13200</v>
      </c>
      <c r="K243" s="129"/>
    </row>
    <row r="244" spans="1:11" s="126" customFormat="1" x14ac:dyDescent="0.2">
      <c r="A244" s="28">
        <f>IF(F244&lt;&gt;"",1+MAX($A$7:A243),"")</f>
        <v>209</v>
      </c>
      <c r="B244" s="43" t="s">
        <v>242</v>
      </c>
      <c r="C244" s="96">
        <v>1492.3</v>
      </c>
      <c r="D244" s="121">
        <v>0.1</v>
      </c>
      <c r="E244" s="96">
        <f t="shared" si="44"/>
        <v>1641.53</v>
      </c>
      <c r="F244" s="23" t="s">
        <v>153</v>
      </c>
      <c r="G244" s="141">
        <v>2.8000000000000003</v>
      </c>
      <c r="H244" s="141">
        <v>4.1999999999999993</v>
      </c>
      <c r="I244" s="128">
        <f t="shared" si="43"/>
        <v>7</v>
      </c>
      <c r="J244" s="127">
        <f>I244*E244</f>
        <v>11490.71</v>
      </c>
      <c r="K244" s="129"/>
    </row>
    <row r="245" spans="1:11" s="126" customFormat="1" x14ac:dyDescent="0.2">
      <c r="A245" s="28">
        <f>IF(F245&lt;&gt;"",1+MAX($A$7:A244),"")</f>
        <v>210</v>
      </c>
      <c r="B245" s="43" t="s">
        <v>243</v>
      </c>
      <c r="C245" s="96">
        <v>782.3</v>
      </c>
      <c r="D245" s="121">
        <v>0.1</v>
      </c>
      <c r="E245" s="96">
        <f t="shared" si="44"/>
        <v>860.53</v>
      </c>
      <c r="F245" s="23" t="s">
        <v>153</v>
      </c>
      <c r="G245" s="141">
        <v>3.2</v>
      </c>
      <c r="H245" s="141">
        <v>4.8</v>
      </c>
      <c r="I245" s="128">
        <f t="shared" si="43"/>
        <v>8</v>
      </c>
      <c r="J245" s="127">
        <f>I245*E245</f>
        <v>6884.24</v>
      </c>
      <c r="K245" s="129"/>
    </row>
    <row r="246" spans="1:11" s="126" customFormat="1" x14ac:dyDescent="0.2">
      <c r="A246" s="28">
        <f>IF(F246&lt;&gt;"",1+MAX($A$7:A245),"")</f>
        <v>211</v>
      </c>
      <c r="B246" s="43" t="s">
        <v>244</v>
      </c>
      <c r="C246" s="96">
        <v>215.98</v>
      </c>
      <c r="D246" s="121">
        <v>0.1</v>
      </c>
      <c r="E246" s="96">
        <f t="shared" si="44"/>
        <v>237.578</v>
      </c>
      <c r="F246" s="23" t="s">
        <v>153</v>
      </c>
      <c r="G246" s="141">
        <v>4</v>
      </c>
      <c r="H246" s="141">
        <v>6</v>
      </c>
      <c r="I246" s="128">
        <f t="shared" si="43"/>
        <v>10</v>
      </c>
      <c r="J246" s="127">
        <f>I246*E246</f>
        <v>2375.7800000000002</v>
      </c>
      <c r="K246" s="129"/>
    </row>
    <row r="247" spans="1:11" s="126" customFormat="1" x14ac:dyDescent="0.2">
      <c r="A247" s="28">
        <f>IF(F247&lt;&gt;"",1+MAX($A$7:A246),"")</f>
        <v>212</v>
      </c>
      <c r="B247" s="43" t="s">
        <v>418</v>
      </c>
      <c r="C247" s="96">
        <v>4</v>
      </c>
      <c r="D247" s="121">
        <v>0</v>
      </c>
      <c r="E247" s="96">
        <f t="shared" si="44"/>
        <v>4</v>
      </c>
      <c r="F247" s="23" t="s">
        <v>106</v>
      </c>
      <c r="G247" s="141">
        <v>340</v>
      </c>
      <c r="H247" s="141">
        <v>510</v>
      </c>
      <c r="I247" s="128">
        <f t="shared" si="43"/>
        <v>850</v>
      </c>
      <c r="J247" s="127">
        <f>I247*E247</f>
        <v>3400</v>
      </c>
      <c r="K247" s="129"/>
    </row>
    <row r="248" spans="1:11" s="151" customFormat="1" x14ac:dyDescent="0.2">
      <c r="A248" s="146" t="str">
        <f>IF(F248&lt;&gt;"",1+MAX($A$7:A247),"")</f>
        <v/>
      </c>
      <c r="B248" s="147" t="s">
        <v>245</v>
      </c>
      <c r="C248" s="148"/>
      <c r="D248" s="148"/>
      <c r="E248" s="148"/>
      <c r="F248" s="149"/>
      <c r="G248" s="149"/>
      <c r="H248" s="149"/>
      <c r="I248" s="147"/>
      <c r="J248" s="147"/>
      <c r="K248" s="150">
        <f>SUM(J249:J333)</f>
        <v>145411.90710000001</v>
      </c>
    </row>
    <row r="249" spans="1:11" s="126" customFormat="1" x14ac:dyDescent="0.2">
      <c r="A249" s="28">
        <f>IF(F249&lt;&gt;"",1+MAX($A$7:A248),"")</f>
        <v>213</v>
      </c>
      <c r="B249" s="43" t="s">
        <v>246</v>
      </c>
      <c r="C249" s="96">
        <v>30.94</v>
      </c>
      <c r="D249" s="121">
        <v>0.1</v>
      </c>
      <c r="E249" s="96">
        <f t="shared" ref="E249:E286" si="46">C249*(1+D249)</f>
        <v>34.034000000000006</v>
      </c>
      <c r="F249" s="23" t="s">
        <v>153</v>
      </c>
      <c r="G249" s="141">
        <v>4.8000000000000007</v>
      </c>
      <c r="H249" s="141">
        <v>7.1999999999999993</v>
      </c>
      <c r="I249" s="128">
        <f t="shared" si="43"/>
        <v>12</v>
      </c>
      <c r="J249" s="127">
        <f t="shared" ref="J249:J286" si="47">I249*E249</f>
        <v>408.40800000000007</v>
      </c>
      <c r="K249" s="129"/>
    </row>
    <row r="250" spans="1:11" s="126" customFormat="1" x14ac:dyDescent="0.2">
      <c r="A250" s="28">
        <f>IF(F250&lt;&gt;"",1+MAX($A$7:A249),"")</f>
        <v>214</v>
      </c>
      <c r="B250" s="43" t="s">
        <v>247</v>
      </c>
      <c r="C250" s="96">
        <v>21.89</v>
      </c>
      <c r="D250" s="121">
        <v>0.1</v>
      </c>
      <c r="E250" s="96">
        <f t="shared" si="46"/>
        <v>24.079000000000004</v>
      </c>
      <c r="F250" s="23" t="s">
        <v>153</v>
      </c>
      <c r="G250" s="141">
        <v>4.6000000000000005</v>
      </c>
      <c r="H250" s="141">
        <v>6.8999999999999995</v>
      </c>
      <c r="I250" s="128">
        <f t="shared" si="43"/>
        <v>11.5</v>
      </c>
      <c r="J250" s="127">
        <f t="shared" si="47"/>
        <v>276.90850000000006</v>
      </c>
      <c r="K250" s="129"/>
    </row>
    <row r="251" spans="1:11" s="126" customFormat="1" x14ac:dyDescent="0.2">
      <c r="A251" s="28">
        <f>IF(F251&lt;&gt;"",1+MAX($A$7:A250),"")</f>
        <v>215</v>
      </c>
      <c r="B251" s="43" t="s">
        <v>248</v>
      </c>
      <c r="C251" s="96">
        <v>26.37</v>
      </c>
      <c r="D251" s="121">
        <v>0.1</v>
      </c>
      <c r="E251" s="96">
        <f t="shared" si="46"/>
        <v>29.007000000000005</v>
      </c>
      <c r="F251" s="23" t="s">
        <v>153</v>
      </c>
      <c r="G251" s="141">
        <v>5.2</v>
      </c>
      <c r="H251" s="141">
        <v>7.8</v>
      </c>
      <c r="I251" s="128">
        <f t="shared" si="43"/>
        <v>13</v>
      </c>
      <c r="J251" s="127">
        <f t="shared" si="47"/>
        <v>377.09100000000007</v>
      </c>
      <c r="K251" s="129"/>
    </row>
    <row r="252" spans="1:11" s="126" customFormat="1" x14ac:dyDescent="0.2">
      <c r="A252" s="28">
        <f>IF(F252&lt;&gt;"",1+MAX($A$7:A251),"")</f>
        <v>216</v>
      </c>
      <c r="B252" s="43" t="s">
        <v>249</v>
      </c>
      <c r="C252" s="96">
        <v>23.38</v>
      </c>
      <c r="D252" s="121">
        <v>0.1</v>
      </c>
      <c r="E252" s="96">
        <f t="shared" si="46"/>
        <v>25.718</v>
      </c>
      <c r="F252" s="23" t="s">
        <v>153</v>
      </c>
      <c r="G252" s="141">
        <v>5.6000000000000005</v>
      </c>
      <c r="H252" s="141">
        <v>8.3999999999999986</v>
      </c>
      <c r="I252" s="128">
        <f t="shared" si="43"/>
        <v>14</v>
      </c>
      <c r="J252" s="127">
        <f t="shared" si="47"/>
        <v>360.05200000000002</v>
      </c>
      <c r="K252" s="129"/>
    </row>
    <row r="253" spans="1:11" s="126" customFormat="1" x14ac:dyDescent="0.2">
      <c r="A253" s="28">
        <f>IF(F253&lt;&gt;"",1+MAX($A$7:A252),"")</f>
        <v>217</v>
      </c>
      <c r="B253" s="43" t="s">
        <v>250</v>
      </c>
      <c r="C253" s="96">
        <v>14.74</v>
      </c>
      <c r="D253" s="121">
        <v>0.1</v>
      </c>
      <c r="E253" s="96">
        <f t="shared" si="46"/>
        <v>16.214000000000002</v>
      </c>
      <c r="F253" s="23" t="s">
        <v>153</v>
      </c>
      <c r="G253" s="141">
        <v>5.6000000000000005</v>
      </c>
      <c r="H253" s="141">
        <v>8.3999999999999986</v>
      </c>
      <c r="I253" s="128">
        <f t="shared" si="43"/>
        <v>14</v>
      </c>
      <c r="J253" s="127">
        <f t="shared" si="47"/>
        <v>226.99600000000004</v>
      </c>
      <c r="K253" s="129"/>
    </row>
    <row r="254" spans="1:11" s="126" customFormat="1" x14ac:dyDescent="0.2">
      <c r="A254" s="28">
        <f>IF(F254&lt;&gt;"",1+MAX($A$7:A253),"")</f>
        <v>218</v>
      </c>
      <c r="B254" s="43" t="s">
        <v>251</v>
      </c>
      <c r="C254" s="96">
        <v>62.16</v>
      </c>
      <c r="D254" s="121">
        <v>0.1</v>
      </c>
      <c r="E254" s="96">
        <f t="shared" si="46"/>
        <v>68.376000000000005</v>
      </c>
      <c r="F254" s="23" t="s">
        <v>153</v>
      </c>
      <c r="G254" s="141">
        <v>4.4000000000000004</v>
      </c>
      <c r="H254" s="141">
        <v>6.6</v>
      </c>
      <c r="I254" s="128">
        <f t="shared" si="43"/>
        <v>11</v>
      </c>
      <c r="J254" s="127">
        <f t="shared" si="47"/>
        <v>752.13600000000008</v>
      </c>
      <c r="K254" s="129"/>
    </row>
    <row r="255" spans="1:11" s="126" customFormat="1" x14ac:dyDescent="0.2">
      <c r="A255" s="28">
        <f>IF(F255&lt;&gt;"",1+MAX($A$7:A254),"")</f>
        <v>219</v>
      </c>
      <c r="B255" s="43" t="s">
        <v>252</v>
      </c>
      <c r="C255" s="96">
        <v>71.3</v>
      </c>
      <c r="D255" s="121">
        <v>0.1</v>
      </c>
      <c r="E255" s="96">
        <f t="shared" si="46"/>
        <v>78.430000000000007</v>
      </c>
      <c r="F255" s="23" t="s">
        <v>153</v>
      </c>
      <c r="G255" s="141">
        <v>4.8000000000000007</v>
      </c>
      <c r="H255" s="141">
        <v>7.1999999999999993</v>
      </c>
      <c r="I255" s="128">
        <f t="shared" si="43"/>
        <v>12</v>
      </c>
      <c r="J255" s="127">
        <f t="shared" si="47"/>
        <v>941.16000000000008</v>
      </c>
      <c r="K255" s="129"/>
    </row>
    <row r="256" spans="1:11" s="126" customFormat="1" x14ac:dyDescent="0.2">
      <c r="A256" s="28">
        <f>IF(F256&lt;&gt;"",1+MAX($A$7:A255),"")</f>
        <v>220</v>
      </c>
      <c r="B256" s="43" t="s">
        <v>253</v>
      </c>
      <c r="C256" s="96">
        <v>30.35</v>
      </c>
      <c r="D256" s="121">
        <v>0.1</v>
      </c>
      <c r="E256" s="96">
        <f t="shared" si="46"/>
        <v>33.385000000000005</v>
      </c>
      <c r="F256" s="23" t="s">
        <v>153</v>
      </c>
      <c r="G256" s="141">
        <v>4.8000000000000007</v>
      </c>
      <c r="H256" s="141">
        <v>7.1999999999999993</v>
      </c>
      <c r="I256" s="128">
        <f t="shared" si="43"/>
        <v>12</v>
      </c>
      <c r="J256" s="127">
        <f t="shared" si="47"/>
        <v>400.62000000000006</v>
      </c>
      <c r="K256" s="129"/>
    </row>
    <row r="257" spans="1:11" s="126" customFormat="1" x14ac:dyDescent="0.2">
      <c r="A257" s="28">
        <f>IF(F257&lt;&gt;"",1+MAX($A$7:A256),"")</f>
        <v>221</v>
      </c>
      <c r="B257" s="43" t="s">
        <v>254</v>
      </c>
      <c r="C257" s="96">
        <v>52.36</v>
      </c>
      <c r="D257" s="121">
        <v>0.1</v>
      </c>
      <c r="E257" s="96">
        <f t="shared" si="46"/>
        <v>57.596000000000004</v>
      </c>
      <c r="F257" s="23" t="s">
        <v>153</v>
      </c>
      <c r="G257" s="141">
        <v>4.8000000000000007</v>
      </c>
      <c r="H257" s="141">
        <v>7.1999999999999993</v>
      </c>
      <c r="I257" s="128">
        <f t="shared" si="43"/>
        <v>12</v>
      </c>
      <c r="J257" s="127">
        <f t="shared" si="47"/>
        <v>691.15200000000004</v>
      </c>
      <c r="K257" s="129"/>
    </row>
    <row r="258" spans="1:11" s="126" customFormat="1" x14ac:dyDescent="0.2">
      <c r="A258" s="28">
        <f>IF(F258&lt;&gt;"",1+MAX($A$7:A257),"")</f>
        <v>222</v>
      </c>
      <c r="B258" s="43" t="s">
        <v>255</v>
      </c>
      <c r="C258" s="96">
        <v>22.41</v>
      </c>
      <c r="D258" s="121">
        <v>0.1</v>
      </c>
      <c r="E258" s="96">
        <f t="shared" si="46"/>
        <v>24.651000000000003</v>
      </c>
      <c r="F258" s="23" t="s">
        <v>153</v>
      </c>
      <c r="G258" s="141">
        <v>6</v>
      </c>
      <c r="H258" s="141">
        <v>9</v>
      </c>
      <c r="I258" s="128">
        <f t="shared" si="43"/>
        <v>15</v>
      </c>
      <c r="J258" s="127">
        <f t="shared" si="47"/>
        <v>369.76500000000004</v>
      </c>
      <c r="K258" s="129"/>
    </row>
    <row r="259" spans="1:11" s="126" customFormat="1" x14ac:dyDescent="0.2">
      <c r="A259" s="28">
        <f>IF(F259&lt;&gt;"",1+MAX($A$7:A258),"")</f>
        <v>223</v>
      </c>
      <c r="B259" s="43" t="s">
        <v>325</v>
      </c>
      <c r="C259" s="96">
        <v>35.33</v>
      </c>
      <c r="D259" s="121">
        <v>0.1</v>
      </c>
      <c r="E259" s="96">
        <f t="shared" si="46"/>
        <v>38.863</v>
      </c>
      <c r="F259" s="23" t="s">
        <v>153</v>
      </c>
      <c r="G259" s="141">
        <v>5.2</v>
      </c>
      <c r="H259" s="141">
        <v>7.8</v>
      </c>
      <c r="I259" s="128">
        <f t="shared" si="43"/>
        <v>13</v>
      </c>
      <c r="J259" s="127">
        <f t="shared" si="47"/>
        <v>505.21899999999999</v>
      </c>
      <c r="K259" s="129"/>
    </row>
    <row r="260" spans="1:11" s="126" customFormat="1" x14ac:dyDescent="0.2">
      <c r="A260" s="28">
        <f>IF(F260&lt;&gt;"",1+MAX($A$7:A259),"")</f>
        <v>224</v>
      </c>
      <c r="B260" s="43" t="s">
        <v>256</v>
      </c>
      <c r="C260" s="96">
        <v>11.36</v>
      </c>
      <c r="D260" s="121">
        <v>0.1</v>
      </c>
      <c r="E260" s="96">
        <f t="shared" si="46"/>
        <v>12.496</v>
      </c>
      <c r="F260" s="23" t="s">
        <v>153</v>
      </c>
      <c r="G260" s="141">
        <v>6</v>
      </c>
      <c r="H260" s="141">
        <v>9</v>
      </c>
      <c r="I260" s="128">
        <f t="shared" si="43"/>
        <v>15</v>
      </c>
      <c r="J260" s="127">
        <f t="shared" si="47"/>
        <v>187.44</v>
      </c>
      <c r="K260" s="129"/>
    </row>
    <row r="261" spans="1:11" s="126" customFormat="1" x14ac:dyDescent="0.2">
      <c r="A261" s="28">
        <f>IF(F261&lt;&gt;"",1+MAX($A$7:A260),"")</f>
        <v>225</v>
      </c>
      <c r="B261" s="43" t="s">
        <v>326</v>
      </c>
      <c r="C261" s="96">
        <v>8.6210000000000004</v>
      </c>
      <c r="D261" s="121">
        <v>0.1</v>
      </c>
      <c r="E261" s="96">
        <f t="shared" si="46"/>
        <v>9.4831000000000021</v>
      </c>
      <c r="F261" s="23" t="s">
        <v>153</v>
      </c>
      <c r="G261" s="141">
        <v>6.4</v>
      </c>
      <c r="H261" s="141">
        <v>9.6</v>
      </c>
      <c r="I261" s="128">
        <f t="shared" si="43"/>
        <v>16</v>
      </c>
      <c r="J261" s="127">
        <f t="shared" si="47"/>
        <v>151.72960000000003</v>
      </c>
      <c r="K261" s="129"/>
    </row>
    <row r="262" spans="1:11" s="126" customFormat="1" x14ac:dyDescent="0.2">
      <c r="A262" s="28">
        <f>IF(F262&lt;&gt;"",1+MAX($A$7:A261),"")</f>
        <v>226</v>
      </c>
      <c r="B262" s="43" t="s">
        <v>256</v>
      </c>
      <c r="C262" s="96">
        <v>26.83</v>
      </c>
      <c r="D262" s="121">
        <v>0.1</v>
      </c>
      <c r="E262" s="96">
        <f t="shared" si="46"/>
        <v>29.513000000000002</v>
      </c>
      <c r="F262" s="23" t="s">
        <v>153</v>
      </c>
      <c r="G262" s="141">
        <v>4.8000000000000007</v>
      </c>
      <c r="H262" s="141">
        <v>7.1999999999999993</v>
      </c>
      <c r="I262" s="128">
        <f t="shared" si="43"/>
        <v>12</v>
      </c>
      <c r="J262" s="127">
        <f t="shared" si="47"/>
        <v>354.15600000000001</v>
      </c>
      <c r="K262" s="129"/>
    </row>
    <row r="263" spans="1:11" s="126" customFormat="1" x14ac:dyDescent="0.2">
      <c r="A263" s="28">
        <f>IF(F263&lt;&gt;"",1+MAX($A$7:A262),"")</f>
        <v>227</v>
      </c>
      <c r="B263" s="43" t="s">
        <v>257</v>
      </c>
      <c r="C263" s="96">
        <v>32.409999999999997</v>
      </c>
      <c r="D263" s="121">
        <v>0.1</v>
      </c>
      <c r="E263" s="96">
        <f t="shared" si="46"/>
        <v>35.650999999999996</v>
      </c>
      <c r="F263" s="23" t="s">
        <v>153</v>
      </c>
      <c r="G263" s="141">
        <v>5.2</v>
      </c>
      <c r="H263" s="141">
        <v>7.8</v>
      </c>
      <c r="I263" s="128">
        <f t="shared" si="43"/>
        <v>13</v>
      </c>
      <c r="J263" s="127">
        <f t="shared" si="47"/>
        <v>463.46299999999997</v>
      </c>
      <c r="K263" s="129"/>
    </row>
    <row r="264" spans="1:11" s="126" customFormat="1" x14ac:dyDescent="0.2">
      <c r="A264" s="28">
        <f>IF(F264&lt;&gt;"",1+MAX($A$7:A263),"")</f>
        <v>228</v>
      </c>
      <c r="B264" s="43" t="s">
        <v>258</v>
      </c>
      <c r="C264" s="96">
        <v>5.09</v>
      </c>
      <c r="D264" s="121">
        <v>0.1</v>
      </c>
      <c r="E264" s="96">
        <f t="shared" si="46"/>
        <v>5.5990000000000002</v>
      </c>
      <c r="F264" s="23" t="s">
        <v>153</v>
      </c>
      <c r="G264" s="141">
        <v>6.4</v>
      </c>
      <c r="H264" s="141">
        <v>9.6</v>
      </c>
      <c r="I264" s="128">
        <f t="shared" si="43"/>
        <v>16</v>
      </c>
      <c r="J264" s="127">
        <f t="shared" si="47"/>
        <v>89.584000000000003</v>
      </c>
      <c r="K264" s="129"/>
    </row>
    <row r="265" spans="1:11" s="126" customFormat="1" x14ac:dyDescent="0.2">
      <c r="A265" s="28">
        <f>IF(F265&lt;&gt;"",1+MAX($A$7:A264),"")</f>
        <v>229</v>
      </c>
      <c r="B265" s="43" t="s">
        <v>259</v>
      </c>
      <c r="C265" s="96">
        <v>31.24</v>
      </c>
      <c r="D265" s="121">
        <v>0.1</v>
      </c>
      <c r="E265" s="96">
        <f t="shared" si="46"/>
        <v>34.364000000000004</v>
      </c>
      <c r="F265" s="23" t="s">
        <v>153</v>
      </c>
      <c r="G265" s="141">
        <v>6.8000000000000007</v>
      </c>
      <c r="H265" s="141">
        <v>10.199999999999999</v>
      </c>
      <c r="I265" s="128">
        <f t="shared" si="43"/>
        <v>17</v>
      </c>
      <c r="J265" s="127">
        <f t="shared" si="47"/>
        <v>584.1880000000001</v>
      </c>
      <c r="K265" s="129"/>
    </row>
    <row r="266" spans="1:11" s="126" customFormat="1" x14ac:dyDescent="0.2">
      <c r="A266" s="28">
        <f>IF(F266&lt;&gt;"",1+MAX($A$7:A265),"")</f>
        <v>230</v>
      </c>
      <c r="B266" s="43" t="s">
        <v>260</v>
      </c>
      <c r="C266" s="96">
        <v>35.01</v>
      </c>
      <c r="D266" s="121">
        <v>0.1</v>
      </c>
      <c r="E266" s="96">
        <f t="shared" si="46"/>
        <v>38.511000000000003</v>
      </c>
      <c r="F266" s="23" t="s">
        <v>153</v>
      </c>
      <c r="G266" s="141">
        <v>8</v>
      </c>
      <c r="H266" s="141">
        <v>12</v>
      </c>
      <c r="I266" s="128">
        <f t="shared" si="43"/>
        <v>20</v>
      </c>
      <c r="J266" s="127">
        <f t="shared" si="47"/>
        <v>770.22</v>
      </c>
      <c r="K266" s="129"/>
    </row>
    <row r="267" spans="1:11" s="126" customFormat="1" x14ac:dyDescent="0.2">
      <c r="A267" s="28">
        <f>IF(F267&lt;&gt;"",1+MAX($A$7:A266),"")</f>
        <v>231</v>
      </c>
      <c r="B267" s="43" t="s">
        <v>327</v>
      </c>
      <c r="C267" s="96">
        <v>37.58</v>
      </c>
      <c r="D267" s="121">
        <v>0.1</v>
      </c>
      <c r="E267" s="96">
        <f t="shared" si="46"/>
        <v>41.338000000000001</v>
      </c>
      <c r="F267" s="23" t="s">
        <v>153</v>
      </c>
      <c r="G267" s="141">
        <v>8</v>
      </c>
      <c r="H267" s="141">
        <v>12</v>
      </c>
      <c r="I267" s="128">
        <f t="shared" si="43"/>
        <v>20</v>
      </c>
      <c r="J267" s="127">
        <f t="shared" si="47"/>
        <v>826.76</v>
      </c>
      <c r="K267" s="129"/>
    </row>
    <row r="268" spans="1:11" s="126" customFormat="1" x14ac:dyDescent="0.2">
      <c r="A268" s="28">
        <f>IF(F268&lt;&gt;"",1+MAX($A$7:A267),"")</f>
        <v>232</v>
      </c>
      <c r="B268" s="43" t="s">
        <v>261</v>
      </c>
      <c r="C268" s="96">
        <v>22.61</v>
      </c>
      <c r="D268" s="121">
        <v>0.1</v>
      </c>
      <c r="E268" s="96">
        <f t="shared" si="46"/>
        <v>24.871000000000002</v>
      </c>
      <c r="F268" s="23" t="s">
        <v>153</v>
      </c>
      <c r="G268" s="141">
        <v>7.6000000000000005</v>
      </c>
      <c r="H268" s="141">
        <v>11.399999999999999</v>
      </c>
      <c r="I268" s="128">
        <f t="shared" si="43"/>
        <v>19</v>
      </c>
      <c r="J268" s="127">
        <f t="shared" si="47"/>
        <v>472.54900000000004</v>
      </c>
      <c r="K268" s="129"/>
    </row>
    <row r="269" spans="1:11" s="126" customFormat="1" x14ac:dyDescent="0.2">
      <c r="A269" s="28">
        <f>IF(F269&lt;&gt;"",1+MAX($A$7:A268),"")</f>
        <v>233</v>
      </c>
      <c r="B269" s="43" t="s">
        <v>262</v>
      </c>
      <c r="C269" s="96">
        <v>46.76</v>
      </c>
      <c r="D269" s="121">
        <v>0.1</v>
      </c>
      <c r="E269" s="96">
        <f t="shared" si="46"/>
        <v>51.436</v>
      </c>
      <c r="F269" s="23" t="s">
        <v>153</v>
      </c>
      <c r="G269" s="141">
        <v>10</v>
      </c>
      <c r="H269" s="141">
        <v>15</v>
      </c>
      <c r="I269" s="128">
        <f t="shared" si="43"/>
        <v>25</v>
      </c>
      <c r="J269" s="127">
        <f t="shared" si="47"/>
        <v>1285.9000000000001</v>
      </c>
      <c r="K269" s="129"/>
    </row>
    <row r="270" spans="1:11" s="126" customFormat="1" x14ac:dyDescent="0.2">
      <c r="A270" s="28">
        <f>IF(F270&lt;&gt;"",1+MAX($A$7:A269),"")</f>
        <v>234</v>
      </c>
      <c r="B270" s="43" t="s">
        <v>263</v>
      </c>
      <c r="C270" s="96">
        <v>29.23</v>
      </c>
      <c r="D270" s="121">
        <v>0.1</v>
      </c>
      <c r="E270" s="96">
        <f t="shared" si="46"/>
        <v>32.153000000000006</v>
      </c>
      <c r="F270" s="23" t="s">
        <v>153</v>
      </c>
      <c r="G270" s="141">
        <v>10.8</v>
      </c>
      <c r="H270" s="141">
        <v>16.2</v>
      </c>
      <c r="I270" s="128">
        <f t="shared" si="43"/>
        <v>27</v>
      </c>
      <c r="J270" s="127">
        <f t="shared" si="47"/>
        <v>868.1310000000002</v>
      </c>
      <c r="K270" s="129"/>
    </row>
    <row r="271" spans="1:11" s="126" customFormat="1" x14ac:dyDescent="0.2">
      <c r="A271" s="28">
        <f>IF(F271&lt;&gt;"",1+MAX($A$7:A270),"")</f>
        <v>235</v>
      </c>
      <c r="B271" s="43" t="s">
        <v>264</v>
      </c>
      <c r="C271" s="96">
        <v>21.7</v>
      </c>
      <c r="D271" s="121">
        <v>0.1</v>
      </c>
      <c r="E271" s="96">
        <f t="shared" si="46"/>
        <v>23.87</v>
      </c>
      <c r="F271" s="23" t="s">
        <v>153</v>
      </c>
      <c r="G271" s="141">
        <v>12</v>
      </c>
      <c r="H271" s="141">
        <v>18</v>
      </c>
      <c r="I271" s="128">
        <f t="shared" si="43"/>
        <v>30</v>
      </c>
      <c r="J271" s="127">
        <f t="shared" si="47"/>
        <v>716.1</v>
      </c>
      <c r="K271" s="129"/>
    </row>
    <row r="272" spans="1:11" s="126" customFormat="1" x14ac:dyDescent="0.2">
      <c r="A272" s="28">
        <f>IF(F272&lt;&gt;"",1+MAX($A$7:A271),"")</f>
        <v>236</v>
      </c>
      <c r="B272" s="43" t="s">
        <v>265</v>
      </c>
      <c r="C272" s="96">
        <v>63.65</v>
      </c>
      <c r="D272" s="121">
        <v>0.1</v>
      </c>
      <c r="E272" s="96">
        <f t="shared" si="46"/>
        <v>70.015000000000001</v>
      </c>
      <c r="F272" s="23" t="s">
        <v>153</v>
      </c>
      <c r="G272" s="141">
        <v>14</v>
      </c>
      <c r="H272" s="141">
        <v>21</v>
      </c>
      <c r="I272" s="128">
        <f t="shared" si="43"/>
        <v>35</v>
      </c>
      <c r="J272" s="127">
        <f t="shared" si="47"/>
        <v>2450.5250000000001</v>
      </c>
      <c r="K272" s="129"/>
    </row>
    <row r="273" spans="1:11" s="126" customFormat="1" x14ac:dyDescent="0.2">
      <c r="A273" s="28">
        <f>IF(F273&lt;&gt;"",1+MAX($A$7:A272),"")</f>
        <v>237</v>
      </c>
      <c r="B273" s="43" t="s">
        <v>266</v>
      </c>
      <c r="C273" s="96">
        <v>55.63</v>
      </c>
      <c r="D273" s="121">
        <v>0.1</v>
      </c>
      <c r="E273" s="96">
        <f t="shared" si="46"/>
        <v>61.193000000000005</v>
      </c>
      <c r="F273" s="23" t="s">
        <v>153</v>
      </c>
      <c r="G273" s="141">
        <v>16</v>
      </c>
      <c r="H273" s="141">
        <v>24</v>
      </c>
      <c r="I273" s="128">
        <f t="shared" si="43"/>
        <v>40</v>
      </c>
      <c r="J273" s="127">
        <f t="shared" si="47"/>
        <v>2447.7200000000003</v>
      </c>
      <c r="K273" s="129"/>
    </row>
    <row r="274" spans="1:11" s="126" customFormat="1" x14ac:dyDescent="0.2">
      <c r="A274" s="28">
        <f>IF(F274&lt;&gt;"",1+MAX($A$7:A273),"")</f>
        <v>238</v>
      </c>
      <c r="B274" s="43" t="s">
        <v>267</v>
      </c>
      <c r="C274" s="96">
        <v>21.98</v>
      </c>
      <c r="D274" s="121">
        <v>0.1</v>
      </c>
      <c r="E274" s="96">
        <f t="shared" si="46"/>
        <v>24.178000000000001</v>
      </c>
      <c r="F274" s="23" t="s">
        <v>153</v>
      </c>
      <c r="G274" s="141">
        <v>18</v>
      </c>
      <c r="H274" s="141">
        <v>27</v>
      </c>
      <c r="I274" s="128">
        <f t="shared" si="43"/>
        <v>45</v>
      </c>
      <c r="J274" s="127">
        <f t="shared" si="47"/>
        <v>1088.01</v>
      </c>
      <c r="K274" s="129"/>
    </row>
    <row r="275" spans="1:11" s="126" customFormat="1" x14ac:dyDescent="0.2">
      <c r="A275" s="28">
        <f>IF(F275&lt;&gt;"",1+MAX($A$7:A274),"")</f>
        <v>239</v>
      </c>
      <c r="B275" s="43" t="s">
        <v>268</v>
      </c>
      <c r="C275" s="96">
        <v>28.23</v>
      </c>
      <c r="D275" s="121">
        <v>0.1</v>
      </c>
      <c r="E275" s="96">
        <f t="shared" si="46"/>
        <v>31.053000000000004</v>
      </c>
      <c r="F275" s="23" t="s">
        <v>153</v>
      </c>
      <c r="G275" s="141">
        <v>2.4000000000000004</v>
      </c>
      <c r="H275" s="141">
        <v>3.5999999999999996</v>
      </c>
      <c r="I275" s="128">
        <f t="shared" si="43"/>
        <v>6</v>
      </c>
      <c r="J275" s="127">
        <f t="shared" si="47"/>
        <v>186.31800000000004</v>
      </c>
      <c r="K275" s="129"/>
    </row>
    <row r="276" spans="1:11" s="126" customFormat="1" x14ac:dyDescent="0.2">
      <c r="A276" s="28">
        <f>IF(F276&lt;&gt;"",1+MAX($A$7:A275),"")</f>
        <v>240</v>
      </c>
      <c r="B276" s="43" t="s">
        <v>269</v>
      </c>
      <c r="C276" s="96">
        <v>32.15</v>
      </c>
      <c r="D276" s="121">
        <v>0.1</v>
      </c>
      <c r="E276" s="96">
        <f t="shared" si="46"/>
        <v>35.365000000000002</v>
      </c>
      <c r="F276" s="23" t="s">
        <v>153</v>
      </c>
      <c r="G276" s="141">
        <v>3.2</v>
      </c>
      <c r="H276" s="141">
        <v>4.8</v>
      </c>
      <c r="I276" s="128">
        <f t="shared" si="43"/>
        <v>8</v>
      </c>
      <c r="J276" s="127">
        <f t="shared" si="47"/>
        <v>282.92</v>
      </c>
      <c r="K276" s="129"/>
    </row>
    <row r="277" spans="1:11" s="126" customFormat="1" x14ac:dyDescent="0.2">
      <c r="A277" s="28">
        <f>IF(F277&lt;&gt;"",1+MAX($A$7:A276),"")</f>
        <v>241</v>
      </c>
      <c r="B277" s="43" t="s">
        <v>270</v>
      </c>
      <c r="C277" s="96">
        <v>55.54</v>
      </c>
      <c r="D277" s="121">
        <v>0.1</v>
      </c>
      <c r="E277" s="96">
        <f t="shared" si="46"/>
        <v>61.094000000000001</v>
      </c>
      <c r="F277" s="23" t="s">
        <v>153</v>
      </c>
      <c r="G277" s="141">
        <v>4</v>
      </c>
      <c r="H277" s="141">
        <v>6</v>
      </c>
      <c r="I277" s="128">
        <f t="shared" si="43"/>
        <v>10</v>
      </c>
      <c r="J277" s="127">
        <f t="shared" si="47"/>
        <v>610.94000000000005</v>
      </c>
      <c r="K277" s="129"/>
    </row>
    <row r="278" spans="1:11" s="126" customFormat="1" x14ac:dyDescent="0.2">
      <c r="A278" s="28">
        <f>IF(F278&lt;&gt;"",1+MAX($A$7:A277),"")</f>
        <v>242</v>
      </c>
      <c r="B278" s="43" t="s">
        <v>328</v>
      </c>
      <c r="C278" s="96">
        <v>40.4</v>
      </c>
      <c r="D278" s="121">
        <v>0.1</v>
      </c>
      <c r="E278" s="96">
        <f t="shared" si="46"/>
        <v>44.440000000000005</v>
      </c>
      <c r="F278" s="23" t="s">
        <v>153</v>
      </c>
      <c r="G278" s="141">
        <v>3.2</v>
      </c>
      <c r="H278" s="141">
        <v>4.8</v>
      </c>
      <c r="I278" s="128">
        <f t="shared" si="43"/>
        <v>8</v>
      </c>
      <c r="J278" s="127">
        <f t="shared" si="47"/>
        <v>355.52000000000004</v>
      </c>
      <c r="K278" s="129"/>
    </row>
    <row r="279" spans="1:11" s="126" customFormat="1" x14ac:dyDescent="0.2">
      <c r="A279" s="28">
        <f>IF(F279&lt;&gt;"",1+MAX($A$7:A278),"")</f>
        <v>243</v>
      </c>
      <c r="B279" s="43" t="s">
        <v>271</v>
      </c>
      <c r="C279" s="96">
        <v>31.72</v>
      </c>
      <c r="D279" s="121">
        <v>0.1</v>
      </c>
      <c r="E279" s="96">
        <f t="shared" si="46"/>
        <v>34.892000000000003</v>
      </c>
      <c r="F279" s="23" t="s">
        <v>153</v>
      </c>
      <c r="G279" s="141">
        <v>3.2</v>
      </c>
      <c r="H279" s="141">
        <v>4.8</v>
      </c>
      <c r="I279" s="128">
        <f t="shared" si="43"/>
        <v>8</v>
      </c>
      <c r="J279" s="127">
        <f t="shared" si="47"/>
        <v>279.13600000000002</v>
      </c>
      <c r="K279" s="129"/>
    </row>
    <row r="280" spans="1:11" s="126" customFormat="1" x14ac:dyDescent="0.2">
      <c r="A280" s="28">
        <f>IF(F280&lt;&gt;"",1+MAX($A$7:A279),"")</f>
        <v>244</v>
      </c>
      <c r="B280" s="43" t="s">
        <v>272</v>
      </c>
      <c r="C280" s="96">
        <v>22.42</v>
      </c>
      <c r="D280" s="121">
        <v>0.1</v>
      </c>
      <c r="E280" s="96">
        <f t="shared" si="46"/>
        <v>24.662000000000003</v>
      </c>
      <c r="F280" s="23" t="s">
        <v>153</v>
      </c>
      <c r="G280" s="141">
        <v>3.2</v>
      </c>
      <c r="H280" s="141">
        <v>4.8</v>
      </c>
      <c r="I280" s="128">
        <f t="shared" si="43"/>
        <v>8</v>
      </c>
      <c r="J280" s="127">
        <f t="shared" si="47"/>
        <v>197.29600000000002</v>
      </c>
      <c r="K280" s="129"/>
    </row>
    <row r="281" spans="1:11" s="126" customFormat="1" x14ac:dyDescent="0.2">
      <c r="A281" s="28">
        <f>IF(F281&lt;&gt;"",1+MAX($A$7:A280),"")</f>
        <v>245</v>
      </c>
      <c r="B281" s="43" t="s">
        <v>273</v>
      </c>
      <c r="C281" s="96">
        <v>8.6999999999999993</v>
      </c>
      <c r="D281" s="121">
        <v>0.1</v>
      </c>
      <c r="E281" s="96">
        <f t="shared" si="46"/>
        <v>9.57</v>
      </c>
      <c r="F281" s="23" t="s">
        <v>153</v>
      </c>
      <c r="G281" s="141">
        <v>3.2</v>
      </c>
      <c r="H281" s="141">
        <v>4.8</v>
      </c>
      <c r="I281" s="128">
        <f t="shared" si="43"/>
        <v>8</v>
      </c>
      <c r="J281" s="127">
        <f t="shared" si="47"/>
        <v>76.56</v>
      </c>
      <c r="K281" s="129"/>
    </row>
    <row r="282" spans="1:11" s="126" customFormat="1" x14ac:dyDescent="0.2">
      <c r="A282" s="28">
        <f>IF(F282&lt;&gt;"",1+MAX($A$7:A281),"")</f>
        <v>246</v>
      </c>
      <c r="B282" s="43" t="s">
        <v>274</v>
      </c>
      <c r="C282" s="96">
        <v>10.18</v>
      </c>
      <c r="D282" s="121">
        <v>0.1</v>
      </c>
      <c r="E282" s="96">
        <f t="shared" si="46"/>
        <v>11.198</v>
      </c>
      <c r="F282" s="23" t="s">
        <v>153</v>
      </c>
      <c r="G282" s="141">
        <v>3.2</v>
      </c>
      <c r="H282" s="141">
        <v>4.8</v>
      </c>
      <c r="I282" s="128">
        <f t="shared" si="43"/>
        <v>8</v>
      </c>
      <c r="J282" s="127">
        <f t="shared" si="47"/>
        <v>89.584000000000003</v>
      </c>
      <c r="K282" s="129"/>
    </row>
    <row r="283" spans="1:11" s="126" customFormat="1" x14ac:dyDescent="0.2">
      <c r="A283" s="28">
        <f>IF(F283&lt;&gt;"",1+MAX($A$7:A282),"")</f>
        <v>247</v>
      </c>
      <c r="B283" s="43" t="s">
        <v>329</v>
      </c>
      <c r="C283" s="96">
        <v>53.9</v>
      </c>
      <c r="D283" s="121">
        <v>0.1</v>
      </c>
      <c r="E283" s="96">
        <f t="shared" si="46"/>
        <v>59.290000000000006</v>
      </c>
      <c r="F283" s="23" t="s">
        <v>153</v>
      </c>
      <c r="G283" s="141">
        <v>4</v>
      </c>
      <c r="H283" s="141">
        <v>6</v>
      </c>
      <c r="I283" s="128">
        <f t="shared" si="43"/>
        <v>10</v>
      </c>
      <c r="J283" s="127">
        <f t="shared" si="47"/>
        <v>592.90000000000009</v>
      </c>
      <c r="K283" s="129"/>
    </row>
    <row r="284" spans="1:11" s="126" customFormat="1" x14ac:dyDescent="0.2">
      <c r="A284" s="28">
        <f>IF(F284&lt;&gt;"",1+MAX($A$7:A283),"")</f>
        <v>248</v>
      </c>
      <c r="B284" s="43" t="s">
        <v>275</v>
      </c>
      <c r="C284" s="96">
        <v>23.87</v>
      </c>
      <c r="D284" s="121">
        <v>0.1</v>
      </c>
      <c r="E284" s="96">
        <f t="shared" si="46"/>
        <v>26.257000000000001</v>
      </c>
      <c r="F284" s="23" t="s">
        <v>153</v>
      </c>
      <c r="G284" s="141">
        <v>4</v>
      </c>
      <c r="H284" s="141">
        <v>6</v>
      </c>
      <c r="I284" s="128">
        <f t="shared" si="43"/>
        <v>10</v>
      </c>
      <c r="J284" s="127">
        <f t="shared" si="47"/>
        <v>262.57</v>
      </c>
      <c r="K284" s="129"/>
    </row>
    <row r="285" spans="1:11" s="126" customFormat="1" x14ac:dyDescent="0.2">
      <c r="A285" s="28">
        <f>IF(F285&lt;&gt;"",1+MAX($A$7:A284),"")</f>
        <v>249</v>
      </c>
      <c r="B285" s="43" t="s">
        <v>276</v>
      </c>
      <c r="C285" s="96">
        <v>30.38</v>
      </c>
      <c r="D285" s="121">
        <v>0.1</v>
      </c>
      <c r="E285" s="96">
        <f t="shared" si="46"/>
        <v>33.417999999999999</v>
      </c>
      <c r="F285" s="23" t="s">
        <v>153</v>
      </c>
      <c r="G285" s="141">
        <v>4</v>
      </c>
      <c r="H285" s="141">
        <v>6</v>
      </c>
      <c r="I285" s="128">
        <f t="shared" si="43"/>
        <v>10</v>
      </c>
      <c r="J285" s="127">
        <f t="shared" si="47"/>
        <v>334.18</v>
      </c>
      <c r="K285" s="129"/>
    </row>
    <row r="286" spans="1:11" s="126" customFormat="1" x14ac:dyDescent="0.2">
      <c r="A286" s="28">
        <f>IF(F286&lt;&gt;"",1+MAX($A$7:A285),"")</f>
        <v>250</v>
      </c>
      <c r="B286" s="43" t="s">
        <v>277</v>
      </c>
      <c r="C286" s="96">
        <v>3038</v>
      </c>
      <c r="D286" s="121">
        <v>0.1</v>
      </c>
      <c r="E286" s="96">
        <f t="shared" si="46"/>
        <v>3341.8</v>
      </c>
      <c r="F286" s="23" t="s">
        <v>153</v>
      </c>
      <c r="G286" s="141">
        <v>4</v>
      </c>
      <c r="H286" s="141">
        <v>6</v>
      </c>
      <c r="I286" s="128">
        <f t="shared" si="43"/>
        <v>10</v>
      </c>
      <c r="J286" s="127">
        <f t="shared" si="47"/>
        <v>33418</v>
      </c>
      <c r="K286" s="129"/>
    </row>
    <row r="287" spans="1:11" s="126" customFormat="1" ht="30" customHeight="1" x14ac:dyDescent="0.2">
      <c r="A287" s="28" t="str">
        <f>IF(F287&lt;&gt;"",1+MAX($A$7:A286),"")</f>
        <v/>
      </c>
      <c r="B287" s="138" t="s">
        <v>330</v>
      </c>
      <c r="C287" s="96"/>
      <c r="D287" s="121"/>
      <c r="E287" s="96"/>
      <c r="F287" s="23"/>
      <c r="G287" s="23"/>
      <c r="H287" s="23"/>
      <c r="I287" s="128"/>
      <c r="J287" s="127"/>
      <c r="K287" s="129"/>
    </row>
    <row r="288" spans="1:11" s="126" customFormat="1" ht="47.25" x14ac:dyDescent="0.2">
      <c r="A288" s="28">
        <f>IF(F288&lt;&gt;"",1+MAX($A$7:A287),"")</f>
        <v>251</v>
      </c>
      <c r="B288" s="43" t="s">
        <v>331</v>
      </c>
      <c r="C288" s="96">
        <v>1</v>
      </c>
      <c r="D288" s="121">
        <v>0</v>
      </c>
      <c r="E288" s="96">
        <f t="shared" ref="E288:E294" si="48">C288*(1+D288)</f>
        <v>1</v>
      </c>
      <c r="F288" s="23" t="s">
        <v>106</v>
      </c>
      <c r="G288" s="141">
        <v>160</v>
      </c>
      <c r="H288" s="141">
        <v>240</v>
      </c>
      <c r="I288" s="128">
        <f t="shared" si="43"/>
        <v>400</v>
      </c>
      <c r="J288" s="127">
        <f t="shared" ref="J288:J294" si="49">I288*E288</f>
        <v>400</v>
      </c>
      <c r="K288" s="129"/>
    </row>
    <row r="289" spans="1:11" s="126" customFormat="1" ht="47.25" x14ac:dyDescent="0.2">
      <c r="A289" s="28">
        <f>IF(F289&lt;&gt;"",1+MAX($A$7:A288),"")</f>
        <v>252</v>
      </c>
      <c r="B289" s="43" t="s">
        <v>332</v>
      </c>
      <c r="C289" s="96">
        <v>1</v>
      </c>
      <c r="D289" s="121">
        <v>0</v>
      </c>
      <c r="E289" s="96">
        <f t="shared" si="48"/>
        <v>1</v>
      </c>
      <c r="F289" s="23" t="s">
        <v>106</v>
      </c>
      <c r="G289" s="141">
        <v>160</v>
      </c>
      <c r="H289" s="141">
        <v>240</v>
      </c>
      <c r="I289" s="128">
        <f t="shared" si="43"/>
        <v>400</v>
      </c>
      <c r="J289" s="127">
        <f t="shared" si="49"/>
        <v>400</v>
      </c>
      <c r="K289" s="129"/>
    </row>
    <row r="290" spans="1:11" s="126" customFormat="1" ht="47.25" x14ac:dyDescent="0.2">
      <c r="A290" s="28">
        <f>IF(F290&lt;&gt;"",1+MAX($A$7:A289),"")</f>
        <v>253</v>
      </c>
      <c r="B290" s="43" t="s">
        <v>333</v>
      </c>
      <c r="C290" s="96">
        <v>1</v>
      </c>
      <c r="D290" s="121">
        <v>0</v>
      </c>
      <c r="E290" s="96">
        <f t="shared" si="48"/>
        <v>1</v>
      </c>
      <c r="F290" s="23" t="s">
        <v>106</v>
      </c>
      <c r="G290" s="141">
        <v>160</v>
      </c>
      <c r="H290" s="141">
        <v>240</v>
      </c>
      <c r="I290" s="128">
        <f t="shared" si="43"/>
        <v>400</v>
      </c>
      <c r="J290" s="127">
        <f t="shared" si="49"/>
        <v>400</v>
      </c>
      <c r="K290" s="129"/>
    </row>
    <row r="291" spans="1:11" s="126" customFormat="1" ht="47.25" x14ac:dyDescent="0.2">
      <c r="A291" s="28">
        <f>IF(F291&lt;&gt;"",1+MAX($A$7:A290),"")</f>
        <v>254</v>
      </c>
      <c r="B291" s="43" t="s">
        <v>334</v>
      </c>
      <c r="C291" s="96">
        <v>1</v>
      </c>
      <c r="D291" s="121">
        <v>0</v>
      </c>
      <c r="E291" s="96">
        <f t="shared" si="48"/>
        <v>1</v>
      </c>
      <c r="F291" s="23" t="s">
        <v>106</v>
      </c>
      <c r="G291" s="141">
        <v>160</v>
      </c>
      <c r="H291" s="141">
        <v>240</v>
      </c>
      <c r="I291" s="128">
        <f t="shared" si="43"/>
        <v>400</v>
      </c>
      <c r="J291" s="127">
        <f t="shared" si="49"/>
        <v>400</v>
      </c>
      <c r="K291" s="129"/>
    </row>
    <row r="292" spans="1:11" s="126" customFormat="1" ht="47.25" x14ac:dyDescent="0.2">
      <c r="A292" s="28">
        <f>IF(F292&lt;&gt;"",1+MAX($A$7:A291),"")</f>
        <v>255</v>
      </c>
      <c r="B292" s="43" t="s">
        <v>335</v>
      </c>
      <c r="C292" s="96">
        <v>1</v>
      </c>
      <c r="D292" s="121">
        <v>0</v>
      </c>
      <c r="E292" s="96">
        <f t="shared" si="48"/>
        <v>1</v>
      </c>
      <c r="F292" s="23" t="s">
        <v>106</v>
      </c>
      <c r="G292" s="141">
        <v>160</v>
      </c>
      <c r="H292" s="141">
        <v>240</v>
      </c>
      <c r="I292" s="128">
        <f t="shared" si="43"/>
        <v>400</v>
      </c>
      <c r="J292" s="127">
        <f t="shared" si="49"/>
        <v>400</v>
      </c>
      <c r="K292" s="129"/>
    </row>
    <row r="293" spans="1:11" s="126" customFormat="1" ht="47.25" x14ac:dyDescent="0.2">
      <c r="A293" s="28">
        <f>IF(F293&lt;&gt;"",1+MAX($A$7:A292),"")</f>
        <v>256</v>
      </c>
      <c r="B293" s="43" t="s">
        <v>336</v>
      </c>
      <c r="C293" s="96">
        <v>1</v>
      </c>
      <c r="D293" s="121">
        <v>0</v>
      </c>
      <c r="E293" s="96">
        <f t="shared" si="48"/>
        <v>1</v>
      </c>
      <c r="F293" s="23" t="s">
        <v>106</v>
      </c>
      <c r="G293" s="141">
        <v>160</v>
      </c>
      <c r="H293" s="141">
        <v>240</v>
      </c>
      <c r="I293" s="128">
        <f t="shared" ref="I293:I354" si="50">G293+H293</f>
        <v>400</v>
      </c>
      <c r="J293" s="127">
        <f t="shared" si="49"/>
        <v>400</v>
      </c>
      <c r="K293" s="129"/>
    </row>
    <row r="294" spans="1:11" s="126" customFormat="1" ht="63" x14ac:dyDescent="0.2">
      <c r="A294" s="28">
        <f>IF(F294&lt;&gt;"",1+MAX($A$7:A293),"")</f>
        <v>257</v>
      </c>
      <c r="B294" s="43" t="s">
        <v>337</v>
      </c>
      <c r="C294" s="96">
        <v>1</v>
      </c>
      <c r="D294" s="121">
        <v>0</v>
      </c>
      <c r="E294" s="96">
        <f t="shared" si="48"/>
        <v>1</v>
      </c>
      <c r="F294" s="23" t="s">
        <v>106</v>
      </c>
      <c r="G294" s="141">
        <v>300</v>
      </c>
      <c r="H294" s="141">
        <v>450</v>
      </c>
      <c r="I294" s="128">
        <f t="shared" si="50"/>
        <v>750</v>
      </c>
      <c r="J294" s="127">
        <f t="shared" si="49"/>
        <v>750</v>
      </c>
      <c r="K294" s="129"/>
    </row>
    <row r="295" spans="1:11" s="126" customFormat="1" ht="30" customHeight="1" x14ac:dyDescent="0.2">
      <c r="A295" s="28" t="str">
        <f>IF(F295&lt;&gt;"",1+MAX($A$7:A294),"")</f>
        <v/>
      </c>
      <c r="B295" s="138" t="s">
        <v>338</v>
      </c>
      <c r="C295" s="96"/>
      <c r="D295" s="121"/>
      <c r="E295" s="96"/>
      <c r="F295" s="23"/>
      <c r="G295" s="23"/>
      <c r="H295" s="23"/>
      <c r="I295" s="128"/>
      <c r="J295" s="127"/>
      <c r="K295" s="129"/>
    </row>
    <row r="296" spans="1:11" s="126" customFormat="1" ht="47.25" x14ac:dyDescent="0.2">
      <c r="A296" s="28">
        <f>IF(F296&lt;&gt;"",1+MAX($A$7:A295),"")</f>
        <v>258</v>
      </c>
      <c r="B296" s="43" t="s">
        <v>339</v>
      </c>
      <c r="C296" s="96">
        <v>1</v>
      </c>
      <c r="D296" s="121">
        <v>0</v>
      </c>
      <c r="E296" s="96">
        <f t="shared" ref="E296:E310" si="51">C296*(1+D296)</f>
        <v>1</v>
      </c>
      <c r="F296" s="23" t="s">
        <v>106</v>
      </c>
      <c r="G296" s="141">
        <v>440</v>
      </c>
      <c r="H296" s="141">
        <v>660</v>
      </c>
      <c r="I296" s="128">
        <f t="shared" si="50"/>
        <v>1100</v>
      </c>
      <c r="J296" s="127">
        <f t="shared" ref="J296:J310" si="52">I296*E296</f>
        <v>1100</v>
      </c>
      <c r="K296" s="129"/>
    </row>
    <row r="297" spans="1:11" s="126" customFormat="1" ht="47.25" x14ac:dyDescent="0.2">
      <c r="A297" s="28">
        <f>IF(F297&lt;&gt;"",1+MAX($A$7:A296),"")</f>
        <v>259</v>
      </c>
      <c r="B297" s="43" t="s">
        <v>340</v>
      </c>
      <c r="C297" s="96">
        <v>1</v>
      </c>
      <c r="D297" s="121">
        <v>0</v>
      </c>
      <c r="E297" s="96">
        <f t="shared" si="51"/>
        <v>1</v>
      </c>
      <c r="F297" s="23" t="s">
        <v>106</v>
      </c>
      <c r="G297" s="141">
        <v>680</v>
      </c>
      <c r="H297" s="141">
        <v>1020</v>
      </c>
      <c r="I297" s="128">
        <f t="shared" si="50"/>
        <v>1700</v>
      </c>
      <c r="J297" s="127">
        <f t="shared" si="52"/>
        <v>1700</v>
      </c>
      <c r="K297" s="129"/>
    </row>
    <row r="298" spans="1:11" s="126" customFormat="1" ht="47.25" x14ac:dyDescent="0.2">
      <c r="A298" s="28">
        <f>IF(F298&lt;&gt;"",1+MAX($A$7:A297),"")</f>
        <v>260</v>
      </c>
      <c r="B298" s="43" t="s">
        <v>341</v>
      </c>
      <c r="C298" s="96">
        <v>1</v>
      </c>
      <c r="D298" s="121">
        <v>0</v>
      </c>
      <c r="E298" s="96">
        <f t="shared" si="51"/>
        <v>1</v>
      </c>
      <c r="F298" s="23" t="s">
        <v>106</v>
      </c>
      <c r="G298" s="141">
        <v>680</v>
      </c>
      <c r="H298" s="141">
        <v>1020</v>
      </c>
      <c r="I298" s="128">
        <f t="shared" si="50"/>
        <v>1700</v>
      </c>
      <c r="J298" s="127">
        <f t="shared" si="52"/>
        <v>1700</v>
      </c>
      <c r="K298" s="129"/>
    </row>
    <row r="299" spans="1:11" s="126" customFormat="1" ht="47.25" x14ac:dyDescent="0.2">
      <c r="A299" s="28">
        <f>IF(F299&lt;&gt;"",1+MAX($A$7:A298),"")</f>
        <v>261</v>
      </c>
      <c r="B299" s="43" t="s">
        <v>342</v>
      </c>
      <c r="C299" s="96">
        <v>1</v>
      </c>
      <c r="D299" s="121">
        <v>0</v>
      </c>
      <c r="E299" s="96">
        <f t="shared" si="51"/>
        <v>1</v>
      </c>
      <c r="F299" s="23" t="s">
        <v>106</v>
      </c>
      <c r="G299" s="141">
        <v>440</v>
      </c>
      <c r="H299" s="141">
        <v>660</v>
      </c>
      <c r="I299" s="128">
        <f t="shared" si="50"/>
        <v>1100</v>
      </c>
      <c r="J299" s="127">
        <f t="shared" si="52"/>
        <v>1100</v>
      </c>
      <c r="K299" s="129"/>
    </row>
    <row r="300" spans="1:11" s="126" customFormat="1" ht="47.25" x14ac:dyDescent="0.2">
      <c r="A300" s="28">
        <f>IF(F300&lt;&gt;"",1+MAX($A$7:A299),"")</f>
        <v>262</v>
      </c>
      <c r="B300" s="43" t="s">
        <v>343</v>
      </c>
      <c r="C300" s="96">
        <v>1</v>
      </c>
      <c r="D300" s="121">
        <v>0</v>
      </c>
      <c r="E300" s="96">
        <f t="shared" si="51"/>
        <v>1</v>
      </c>
      <c r="F300" s="23" t="s">
        <v>106</v>
      </c>
      <c r="G300" s="141">
        <v>440</v>
      </c>
      <c r="H300" s="141">
        <v>660</v>
      </c>
      <c r="I300" s="128">
        <f t="shared" si="50"/>
        <v>1100</v>
      </c>
      <c r="J300" s="127">
        <f t="shared" si="52"/>
        <v>1100</v>
      </c>
      <c r="K300" s="129"/>
    </row>
    <row r="301" spans="1:11" s="126" customFormat="1" ht="47.25" x14ac:dyDescent="0.2">
      <c r="A301" s="28">
        <f>IF(F301&lt;&gt;"",1+MAX($A$7:A300),"")</f>
        <v>263</v>
      </c>
      <c r="B301" s="43" t="s">
        <v>344</v>
      </c>
      <c r="C301" s="96">
        <v>1</v>
      </c>
      <c r="D301" s="121">
        <v>0</v>
      </c>
      <c r="E301" s="96">
        <f t="shared" si="51"/>
        <v>1</v>
      </c>
      <c r="F301" s="23" t="s">
        <v>106</v>
      </c>
      <c r="G301" s="141">
        <v>680</v>
      </c>
      <c r="H301" s="141">
        <v>1020</v>
      </c>
      <c r="I301" s="128">
        <f t="shared" si="50"/>
        <v>1700</v>
      </c>
      <c r="J301" s="127">
        <f t="shared" si="52"/>
        <v>1700</v>
      </c>
      <c r="K301" s="129"/>
    </row>
    <row r="302" spans="1:11" s="126" customFormat="1" ht="47.25" x14ac:dyDescent="0.2">
      <c r="A302" s="28">
        <f>IF(F302&lt;&gt;"",1+MAX($A$7:A301),"")</f>
        <v>264</v>
      </c>
      <c r="B302" s="43" t="s">
        <v>345</v>
      </c>
      <c r="C302" s="96">
        <v>1</v>
      </c>
      <c r="D302" s="121">
        <v>0</v>
      </c>
      <c r="E302" s="96">
        <f t="shared" si="51"/>
        <v>1</v>
      </c>
      <c r="F302" s="23" t="s">
        <v>106</v>
      </c>
      <c r="G302" s="141">
        <v>1120</v>
      </c>
      <c r="H302" s="141">
        <v>1680</v>
      </c>
      <c r="I302" s="128">
        <f t="shared" si="50"/>
        <v>2800</v>
      </c>
      <c r="J302" s="127">
        <f t="shared" si="52"/>
        <v>2800</v>
      </c>
      <c r="K302" s="129"/>
    </row>
    <row r="303" spans="1:11" s="126" customFormat="1" ht="47.25" x14ac:dyDescent="0.2">
      <c r="A303" s="28">
        <f>IF(F303&lt;&gt;"",1+MAX($A$7:A302),"")</f>
        <v>265</v>
      </c>
      <c r="B303" s="43" t="s">
        <v>347</v>
      </c>
      <c r="C303" s="96">
        <v>1</v>
      </c>
      <c r="D303" s="121">
        <v>0</v>
      </c>
      <c r="E303" s="96">
        <f t="shared" si="51"/>
        <v>1</v>
      </c>
      <c r="F303" s="23" t="s">
        <v>106</v>
      </c>
      <c r="G303" s="141">
        <v>1120</v>
      </c>
      <c r="H303" s="141">
        <v>1680</v>
      </c>
      <c r="I303" s="128">
        <f t="shared" si="50"/>
        <v>2800</v>
      </c>
      <c r="J303" s="127">
        <f t="shared" si="52"/>
        <v>2800</v>
      </c>
      <c r="K303" s="129"/>
    </row>
    <row r="304" spans="1:11" s="126" customFormat="1" ht="31.5" x14ac:dyDescent="0.2">
      <c r="A304" s="28">
        <f>IF(F304&lt;&gt;"",1+MAX($A$7:A303),"")</f>
        <v>266</v>
      </c>
      <c r="B304" s="43" t="s">
        <v>346</v>
      </c>
      <c r="C304" s="96">
        <v>1</v>
      </c>
      <c r="D304" s="121">
        <v>0</v>
      </c>
      <c r="E304" s="96">
        <f t="shared" si="51"/>
        <v>1</v>
      </c>
      <c r="F304" s="23" t="s">
        <v>106</v>
      </c>
      <c r="G304" s="141">
        <v>680</v>
      </c>
      <c r="H304" s="141">
        <v>1020</v>
      </c>
      <c r="I304" s="128">
        <f t="shared" si="50"/>
        <v>1700</v>
      </c>
      <c r="J304" s="127">
        <f t="shared" si="52"/>
        <v>1700</v>
      </c>
      <c r="K304" s="129"/>
    </row>
    <row r="305" spans="1:11" s="126" customFormat="1" ht="31.5" x14ac:dyDescent="0.2">
      <c r="A305" s="28">
        <f>IF(F305&lt;&gt;"",1+MAX($A$7:A304),"")</f>
        <v>267</v>
      </c>
      <c r="B305" s="43" t="s">
        <v>348</v>
      </c>
      <c r="C305" s="96">
        <v>1</v>
      </c>
      <c r="D305" s="121">
        <v>0</v>
      </c>
      <c r="E305" s="96">
        <f t="shared" si="51"/>
        <v>1</v>
      </c>
      <c r="F305" s="23" t="s">
        <v>106</v>
      </c>
      <c r="G305" s="141">
        <v>440</v>
      </c>
      <c r="H305" s="141">
        <v>660</v>
      </c>
      <c r="I305" s="128">
        <f t="shared" si="50"/>
        <v>1100</v>
      </c>
      <c r="J305" s="127">
        <f t="shared" si="52"/>
        <v>1100</v>
      </c>
      <c r="K305" s="129"/>
    </row>
    <row r="306" spans="1:11" s="126" customFormat="1" ht="47.25" x14ac:dyDescent="0.2">
      <c r="A306" s="28">
        <f>IF(F306&lt;&gt;"",1+MAX($A$7:A305),"")</f>
        <v>268</v>
      </c>
      <c r="B306" s="43" t="s">
        <v>349</v>
      </c>
      <c r="C306" s="96">
        <v>1</v>
      </c>
      <c r="D306" s="121">
        <v>0</v>
      </c>
      <c r="E306" s="96">
        <f t="shared" si="51"/>
        <v>1</v>
      </c>
      <c r="F306" s="23" t="s">
        <v>106</v>
      </c>
      <c r="G306" s="141">
        <v>440</v>
      </c>
      <c r="H306" s="141">
        <v>660</v>
      </c>
      <c r="I306" s="128">
        <f t="shared" si="50"/>
        <v>1100</v>
      </c>
      <c r="J306" s="127">
        <f t="shared" si="52"/>
        <v>1100</v>
      </c>
      <c r="K306" s="129"/>
    </row>
    <row r="307" spans="1:11" s="126" customFormat="1" ht="47.25" x14ac:dyDescent="0.2">
      <c r="A307" s="28">
        <f>IF(F307&lt;&gt;"",1+MAX($A$7:A306),"")</f>
        <v>269</v>
      </c>
      <c r="B307" s="43" t="s">
        <v>350</v>
      </c>
      <c r="C307" s="96">
        <v>1</v>
      </c>
      <c r="D307" s="121">
        <v>0</v>
      </c>
      <c r="E307" s="96">
        <f t="shared" si="51"/>
        <v>1</v>
      </c>
      <c r="F307" s="23" t="s">
        <v>106</v>
      </c>
      <c r="G307" s="141">
        <v>440</v>
      </c>
      <c r="H307" s="141">
        <v>660</v>
      </c>
      <c r="I307" s="128">
        <f t="shared" si="50"/>
        <v>1100</v>
      </c>
      <c r="J307" s="127">
        <f t="shared" si="52"/>
        <v>1100</v>
      </c>
      <c r="K307" s="129"/>
    </row>
    <row r="308" spans="1:11" s="126" customFormat="1" ht="47.25" x14ac:dyDescent="0.2">
      <c r="A308" s="28">
        <f>IF(F308&lt;&gt;"",1+MAX($A$7:A307),"")</f>
        <v>270</v>
      </c>
      <c r="B308" s="43" t="s">
        <v>351</v>
      </c>
      <c r="C308" s="96">
        <v>1</v>
      </c>
      <c r="D308" s="121">
        <v>0</v>
      </c>
      <c r="E308" s="96">
        <f t="shared" si="51"/>
        <v>1</v>
      </c>
      <c r="F308" s="23" t="s">
        <v>106</v>
      </c>
      <c r="G308" s="141">
        <v>440</v>
      </c>
      <c r="H308" s="141">
        <v>660</v>
      </c>
      <c r="I308" s="128">
        <f t="shared" si="50"/>
        <v>1100</v>
      </c>
      <c r="J308" s="127">
        <f t="shared" si="52"/>
        <v>1100</v>
      </c>
      <c r="K308" s="129"/>
    </row>
    <row r="309" spans="1:11" s="126" customFormat="1" ht="47.25" x14ac:dyDescent="0.2">
      <c r="A309" s="28">
        <f>IF(F309&lt;&gt;"",1+MAX($A$7:A308),"")</f>
        <v>271</v>
      </c>
      <c r="B309" s="43" t="s">
        <v>352</v>
      </c>
      <c r="C309" s="96">
        <v>1</v>
      </c>
      <c r="D309" s="121">
        <v>0</v>
      </c>
      <c r="E309" s="96">
        <f t="shared" si="51"/>
        <v>1</v>
      </c>
      <c r="F309" s="23" t="s">
        <v>106</v>
      </c>
      <c r="G309" s="141">
        <v>1120</v>
      </c>
      <c r="H309" s="141">
        <v>1680</v>
      </c>
      <c r="I309" s="128">
        <f t="shared" si="50"/>
        <v>2800</v>
      </c>
      <c r="J309" s="127">
        <f t="shared" si="52"/>
        <v>2800</v>
      </c>
      <c r="K309" s="129"/>
    </row>
    <row r="310" spans="1:11" s="126" customFormat="1" ht="47.25" x14ac:dyDescent="0.2">
      <c r="A310" s="28">
        <f>IF(F310&lt;&gt;"",1+MAX($A$7:A309),"")</f>
        <v>272</v>
      </c>
      <c r="B310" s="43" t="s">
        <v>353</v>
      </c>
      <c r="C310" s="96">
        <v>1</v>
      </c>
      <c r="D310" s="121">
        <v>0</v>
      </c>
      <c r="E310" s="96">
        <f t="shared" si="51"/>
        <v>1</v>
      </c>
      <c r="F310" s="23" t="s">
        <v>106</v>
      </c>
      <c r="G310" s="141">
        <v>720</v>
      </c>
      <c r="H310" s="141">
        <v>1080</v>
      </c>
      <c r="I310" s="128">
        <f t="shared" si="50"/>
        <v>1800</v>
      </c>
      <c r="J310" s="127">
        <f t="shared" si="52"/>
        <v>1800</v>
      </c>
      <c r="K310" s="129"/>
    </row>
    <row r="311" spans="1:11" s="126" customFormat="1" ht="30" customHeight="1" x14ac:dyDescent="0.2">
      <c r="A311" s="28" t="str">
        <f>IF(F311&lt;&gt;"",1+MAX($A$7:A310),"")</f>
        <v/>
      </c>
      <c r="B311" s="138" t="s">
        <v>354</v>
      </c>
      <c r="C311" s="96"/>
      <c r="D311" s="121"/>
      <c r="E311" s="96"/>
      <c r="F311" s="23"/>
      <c r="G311" s="23"/>
      <c r="H311" s="23"/>
      <c r="I311" s="128"/>
      <c r="J311" s="127"/>
      <c r="K311" s="129"/>
    </row>
    <row r="312" spans="1:11" s="126" customFormat="1" x14ac:dyDescent="0.2">
      <c r="A312" s="28">
        <f>IF(F312&lt;&gt;"",1+MAX($A$7:A311),"")</f>
        <v>273</v>
      </c>
      <c r="B312" s="43" t="s">
        <v>355</v>
      </c>
      <c r="C312" s="96">
        <v>5</v>
      </c>
      <c r="D312" s="121">
        <v>0</v>
      </c>
      <c r="E312" s="96">
        <f t="shared" ref="E312:E332" si="53">C312*(1+D312)</f>
        <v>5</v>
      </c>
      <c r="F312" s="23" t="s">
        <v>106</v>
      </c>
      <c r="G312" s="141">
        <v>300</v>
      </c>
      <c r="H312" s="141">
        <v>450</v>
      </c>
      <c r="I312" s="128">
        <f t="shared" si="50"/>
        <v>750</v>
      </c>
      <c r="J312" s="127">
        <f t="shared" ref="J312:J332" si="54">I312*E312</f>
        <v>3750</v>
      </c>
      <c r="K312" s="129"/>
    </row>
    <row r="313" spans="1:11" s="126" customFormat="1" x14ac:dyDescent="0.2">
      <c r="A313" s="28">
        <f>IF(F313&lt;&gt;"",1+MAX($A$7:A312),"")</f>
        <v>274</v>
      </c>
      <c r="B313" s="43" t="s">
        <v>356</v>
      </c>
      <c r="C313" s="96">
        <v>2</v>
      </c>
      <c r="D313" s="121">
        <v>0</v>
      </c>
      <c r="E313" s="96">
        <f t="shared" si="53"/>
        <v>2</v>
      </c>
      <c r="F313" s="23" t="s">
        <v>106</v>
      </c>
      <c r="G313" s="141">
        <v>320</v>
      </c>
      <c r="H313" s="141">
        <v>480</v>
      </c>
      <c r="I313" s="128">
        <f t="shared" si="50"/>
        <v>800</v>
      </c>
      <c r="J313" s="127">
        <f t="shared" si="54"/>
        <v>1600</v>
      </c>
      <c r="K313" s="129"/>
    </row>
    <row r="314" spans="1:11" s="126" customFormat="1" x14ac:dyDescent="0.2">
      <c r="A314" s="28">
        <f>IF(F314&lt;&gt;"",1+MAX($A$7:A313),"")</f>
        <v>275</v>
      </c>
      <c r="B314" s="43" t="s">
        <v>357</v>
      </c>
      <c r="C314" s="96">
        <v>6</v>
      </c>
      <c r="D314" s="121">
        <v>0</v>
      </c>
      <c r="E314" s="96">
        <f t="shared" si="53"/>
        <v>6</v>
      </c>
      <c r="F314" s="23" t="s">
        <v>106</v>
      </c>
      <c r="G314" s="141">
        <v>240</v>
      </c>
      <c r="H314" s="141">
        <v>360</v>
      </c>
      <c r="I314" s="128">
        <f t="shared" si="50"/>
        <v>600</v>
      </c>
      <c r="J314" s="127">
        <f t="shared" si="54"/>
        <v>3600</v>
      </c>
      <c r="K314" s="129"/>
    </row>
    <row r="315" spans="1:11" s="126" customFormat="1" x14ac:dyDescent="0.2">
      <c r="A315" s="28">
        <f>IF(F315&lt;&gt;"",1+MAX($A$7:A314),"")</f>
        <v>276</v>
      </c>
      <c r="B315" s="43" t="s">
        <v>358</v>
      </c>
      <c r="C315" s="96">
        <v>2</v>
      </c>
      <c r="D315" s="121">
        <v>0</v>
      </c>
      <c r="E315" s="96">
        <f t="shared" si="53"/>
        <v>2</v>
      </c>
      <c r="F315" s="23" t="s">
        <v>106</v>
      </c>
      <c r="G315" s="141">
        <v>240</v>
      </c>
      <c r="H315" s="141">
        <v>360</v>
      </c>
      <c r="I315" s="128">
        <f t="shared" si="50"/>
        <v>600</v>
      </c>
      <c r="J315" s="127">
        <f t="shared" si="54"/>
        <v>1200</v>
      </c>
      <c r="K315" s="129"/>
    </row>
    <row r="316" spans="1:11" s="126" customFormat="1" ht="31.5" x14ac:dyDescent="0.2">
      <c r="A316" s="28">
        <f>IF(F316&lt;&gt;"",1+MAX($A$7:A315),"")</f>
        <v>277</v>
      </c>
      <c r="B316" s="43" t="s">
        <v>359</v>
      </c>
      <c r="C316" s="96">
        <v>3</v>
      </c>
      <c r="D316" s="121">
        <v>0</v>
      </c>
      <c r="E316" s="96">
        <f t="shared" si="53"/>
        <v>3</v>
      </c>
      <c r="F316" s="23" t="s">
        <v>106</v>
      </c>
      <c r="G316" s="141">
        <v>240</v>
      </c>
      <c r="H316" s="141">
        <v>360</v>
      </c>
      <c r="I316" s="128">
        <f t="shared" si="50"/>
        <v>600</v>
      </c>
      <c r="J316" s="127">
        <f t="shared" si="54"/>
        <v>1800</v>
      </c>
      <c r="K316" s="129"/>
    </row>
    <row r="317" spans="1:11" s="126" customFormat="1" x14ac:dyDescent="0.2">
      <c r="A317" s="28">
        <f>IF(F317&lt;&gt;"",1+MAX($A$7:A316),"")</f>
        <v>278</v>
      </c>
      <c r="B317" s="43" t="s">
        <v>360</v>
      </c>
      <c r="C317" s="96">
        <v>4</v>
      </c>
      <c r="D317" s="121">
        <v>0</v>
      </c>
      <c r="E317" s="96">
        <f t="shared" si="53"/>
        <v>4</v>
      </c>
      <c r="F317" s="23" t="s">
        <v>106</v>
      </c>
      <c r="G317" s="141">
        <v>300</v>
      </c>
      <c r="H317" s="141">
        <v>450</v>
      </c>
      <c r="I317" s="128">
        <f t="shared" si="50"/>
        <v>750</v>
      </c>
      <c r="J317" s="127">
        <f t="shared" si="54"/>
        <v>3000</v>
      </c>
      <c r="K317" s="129"/>
    </row>
    <row r="318" spans="1:11" s="126" customFormat="1" x14ac:dyDescent="0.2">
      <c r="A318" s="28">
        <f>IF(F318&lt;&gt;"",1+MAX($A$7:A317),"")</f>
        <v>279</v>
      </c>
      <c r="B318" s="43" t="s">
        <v>361</v>
      </c>
      <c r="C318" s="96">
        <v>8</v>
      </c>
      <c r="D318" s="121">
        <v>0</v>
      </c>
      <c r="E318" s="96">
        <f t="shared" si="53"/>
        <v>8</v>
      </c>
      <c r="F318" s="23" t="s">
        <v>106</v>
      </c>
      <c r="G318" s="141">
        <v>300</v>
      </c>
      <c r="H318" s="141">
        <v>450</v>
      </c>
      <c r="I318" s="128">
        <f t="shared" si="50"/>
        <v>750</v>
      </c>
      <c r="J318" s="127">
        <f t="shared" si="54"/>
        <v>6000</v>
      </c>
      <c r="K318" s="129"/>
    </row>
    <row r="319" spans="1:11" s="126" customFormat="1" x14ac:dyDescent="0.2">
      <c r="A319" s="28">
        <f>IF(F319&lt;&gt;"",1+MAX($A$7:A318),"")</f>
        <v>280</v>
      </c>
      <c r="B319" s="43" t="s">
        <v>362</v>
      </c>
      <c r="C319" s="96">
        <v>4</v>
      </c>
      <c r="D319" s="121">
        <v>0</v>
      </c>
      <c r="E319" s="96">
        <f t="shared" si="53"/>
        <v>4</v>
      </c>
      <c r="F319" s="23" t="s">
        <v>106</v>
      </c>
      <c r="G319" s="141">
        <v>300</v>
      </c>
      <c r="H319" s="141">
        <v>450</v>
      </c>
      <c r="I319" s="128">
        <f t="shared" si="50"/>
        <v>750</v>
      </c>
      <c r="J319" s="127">
        <f t="shared" si="54"/>
        <v>3000</v>
      </c>
      <c r="K319" s="129"/>
    </row>
    <row r="320" spans="1:11" s="126" customFormat="1" x14ac:dyDescent="0.2">
      <c r="A320" s="28">
        <f>IF(F320&lt;&gt;"",1+MAX($A$7:A319),"")</f>
        <v>281</v>
      </c>
      <c r="B320" s="43" t="s">
        <v>363</v>
      </c>
      <c r="C320" s="96">
        <v>5</v>
      </c>
      <c r="D320" s="121">
        <v>0</v>
      </c>
      <c r="E320" s="96">
        <f t="shared" si="53"/>
        <v>5</v>
      </c>
      <c r="F320" s="23" t="s">
        <v>106</v>
      </c>
      <c r="G320" s="141">
        <v>240</v>
      </c>
      <c r="H320" s="141">
        <v>360</v>
      </c>
      <c r="I320" s="128">
        <f t="shared" si="50"/>
        <v>600</v>
      </c>
      <c r="J320" s="127">
        <f t="shared" si="54"/>
        <v>3000</v>
      </c>
      <c r="K320" s="129"/>
    </row>
    <row r="321" spans="1:11" s="126" customFormat="1" x14ac:dyDescent="0.2">
      <c r="A321" s="28">
        <f>IF(F321&lt;&gt;"",1+MAX($A$7:A320),"")</f>
        <v>282</v>
      </c>
      <c r="B321" s="43" t="s">
        <v>364</v>
      </c>
      <c r="C321" s="96">
        <v>8</v>
      </c>
      <c r="D321" s="121">
        <v>0</v>
      </c>
      <c r="E321" s="96">
        <f t="shared" si="53"/>
        <v>8</v>
      </c>
      <c r="F321" s="23" t="s">
        <v>106</v>
      </c>
      <c r="G321" s="141">
        <v>240</v>
      </c>
      <c r="H321" s="141">
        <v>360</v>
      </c>
      <c r="I321" s="128">
        <f t="shared" si="50"/>
        <v>600</v>
      </c>
      <c r="J321" s="127">
        <f t="shared" si="54"/>
        <v>4800</v>
      </c>
      <c r="K321" s="129"/>
    </row>
    <row r="322" spans="1:11" s="126" customFormat="1" x14ac:dyDescent="0.2">
      <c r="A322" s="28">
        <f>IF(F322&lt;&gt;"",1+MAX($A$7:A321),"")</f>
        <v>283</v>
      </c>
      <c r="B322" s="43" t="s">
        <v>365</v>
      </c>
      <c r="C322" s="96">
        <v>1</v>
      </c>
      <c r="D322" s="121">
        <v>0</v>
      </c>
      <c r="E322" s="96">
        <f t="shared" si="53"/>
        <v>1</v>
      </c>
      <c r="F322" s="23" t="s">
        <v>106</v>
      </c>
      <c r="G322" s="141">
        <v>240</v>
      </c>
      <c r="H322" s="141">
        <v>360</v>
      </c>
      <c r="I322" s="128">
        <f t="shared" si="50"/>
        <v>600</v>
      </c>
      <c r="J322" s="127">
        <f t="shared" si="54"/>
        <v>600</v>
      </c>
      <c r="K322" s="129"/>
    </row>
    <row r="323" spans="1:11" s="126" customFormat="1" x14ac:dyDescent="0.2">
      <c r="A323" s="28">
        <f>IF(F323&lt;&gt;"",1+MAX($A$7:A322),"")</f>
        <v>284</v>
      </c>
      <c r="B323" s="43" t="s">
        <v>366</v>
      </c>
      <c r="C323" s="96">
        <v>7</v>
      </c>
      <c r="D323" s="121">
        <v>0</v>
      </c>
      <c r="E323" s="96">
        <f t="shared" si="53"/>
        <v>7</v>
      </c>
      <c r="F323" s="23" t="s">
        <v>106</v>
      </c>
      <c r="G323" s="141">
        <v>240</v>
      </c>
      <c r="H323" s="141">
        <v>360</v>
      </c>
      <c r="I323" s="128">
        <f t="shared" si="50"/>
        <v>600</v>
      </c>
      <c r="J323" s="127">
        <f t="shared" si="54"/>
        <v>4200</v>
      </c>
      <c r="K323" s="129"/>
    </row>
    <row r="324" spans="1:11" s="126" customFormat="1" x14ac:dyDescent="0.2">
      <c r="A324" s="28">
        <f>IF(F324&lt;&gt;"",1+MAX($A$7:A323),"")</f>
        <v>285</v>
      </c>
      <c r="B324" s="43" t="s">
        <v>367</v>
      </c>
      <c r="C324" s="96">
        <v>10</v>
      </c>
      <c r="D324" s="121">
        <v>0</v>
      </c>
      <c r="E324" s="96">
        <f t="shared" si="53"/>
        <v>10</v>
      </c>
      <c r="F324" s="23" t="s">
        <v>106</v>
      </c>
      <c r="G324" s="141">
        <v>60</v>
      </c>
      <c r="H324" s="141">
        <v>90</v>
      </c>
      <c r="I324" s="128">
        <f t="shared" si="50"/>
        <v>150</v>
      </c>
      <c r="J324" s="127">
        <f t="shared" si="54"/>
        <v>1500</v>
      </c>
      <c r="K324" s="129"/>
    </row>
    <row r="325" spans="1:11" s="126" customFormat="1" x14ac:dyDescent="0.2">
      <c r="A325" s="28">
        <f>IF(F325&lt;&gt;"",1+MAX($A$7:A324),"")</f>
        <v>286</v>
      </c>
      <c r="B325" s="43" t="s">
        <v>368</v>
      </c>
      <c r="C325" s="96">
        <v>3</v>
      </c>
      <c r="D325" s="121">
        <v>0</v>
      </c>
      <c r="E325" s="96">
        <f t="shared" si="53"/>
        <v>3</v>
      </c>
      <c r="F325" s="23" t="s">
        <v>106</v>
      </c>
      <c r="G325" s="141">
        <v>80</v>
      </c>
      <c r="H325" s="141">
        <v>120</v>
      </c>
      <c r="I325" s="128">
        <f t="shared" si="50"/>
        <v>200</v>
      </c>
      <c r="J325" s="127">
        <f t="shared" si="54"/>
        <v>600</v>
      </c>
      <c r="K325" s="129"/>
    </row>
    <row r="326" spans="1:11" s="126" customFormat="1" x14ac:dyDescent="0.2">
      <c r="A326" s="28">
        <f>IF(F326&lt;&gt;"",1+MAX($A$7:A325),"")</f>
        <v>287</v>
      </c>
      <c r="B326" s="43" t="s">
        <v>369</v>
      </c>
      <c r="C326" s="96">
        <v>8</v>
      </c>
      <c r="D326" s="121">
        <v>0</v>
      </c>
      <c r="E326" s="96">
        <f t="shared" si="53"/>
        <v>8</v>
      </c>
      <c r="F326" s="23" t="s">
        <v>106</v>
      </c>
      <c r="G326" s="141">
        <v>40</v>
      </c>
      <c r="H326" s="141">
        <v>60</v>
      </c>
      <c r="I326" s="128">
        <f t="shared" si="50"/>
        <v>100</v>
      </c>
      <c r="J326" s="127">
        <f t="shared" si="54"/>
        <v>800</v>
      </c>
      <c r="K326" s="129"/>
    </row>
    <row r="327" spans="1:11" s="126" customFormat="1" x14ac:dyDescent="0.2">
      <c r="A327" s="28">
        <f>IF(F327&lt;&gt;"",1+MAX($A$7:A326),"")</f>
        <v>288</v>
      </c>
      <c r="B327" s="43" t="s">
        <v>370</v>
      </c>
      <c r="C327" s="96">
        <v>8</v>
      </c>
      <c r="D327" s="121">
        <v>0</v>
      </c>
      <c r="E327" s="96">
        <f t="shared" si="53"/>
        <v>8</v>
      </c>
      <c r="F327" s="23" t="s">
        <v>106</v>
      </c>
      <c r="G327" s="141">
        <v>30</v>
      </c>
      <c r="H327" s="141">
        <v>45</v>
      </c>
      <c r="I327" s="128">
        <f t="shared" si="50"/>
        <v>75</v>
      </c>
      <c r="J327" s="127">
        <f t="shared" si="54"/>
        <v>600</v>
      </c>
      <c r="K327" s="129"/>
    </row>
    <row r="328" spans="1:11" s="126" customFormat="1" x14ac:dyDescent="0.2">
      <c r="A328" s="28">
        <f>IF(F328&lt;&gt;"",1+MAX($A$7:A327),"")</f>
        <v>289</v>
      </c>
      <c r="B328" s="43" t="s">
        <v>371</v>
      </c>
      <c r="C328" s="96">
        <v>1</v>
      </c>
      <c r="D328" s="121">
        <v>0</v>
      </c>
      <c r="E328" s="96">
        <f t="shared" si="53"/>
        <v>1</v>
      </c>
      <c r="F328" s="23" t="s">
        <v>106</v>
      </c>
      <c r="G328" s="141">
        <v>60</v>
      </c>
      <c r="H328" s="141">
        <v>90</v>
      </c>
      <c r="I328" s="128">
        <f t="shared" si="50"/>
        <v>150</v>
      </c>
      <c r="J328" s="127">
        <f t="shared" si="54"/>
        <v>150</v>
      </c>
      <c r="K328" s="129"/>
    </row>
    <row r="329" spans="1:11" s="126" customFormat="1" x14ac:dyDescent="0.2">
      <c r="A329" s="28">
        <f>IF(F329&lt;&gt;"",1+MAX($A$7:A328),"")</f>
        <v>290</v>
      </c>
      <c r="B329" s="43" t="s">
        <v>372</v>
      </c>
      <c r="C329" s="96">
        <v>25</v>
      </c>
      <c r="D329" s="121">
        <v>0</v>
      </c>
      <c r="E329" s="96">
        <f t="shared" si="53"/>
        <v>25</v>
      </c>
      <c r="F329" s="23" t="s">
        <v>106</v>
      </c>
      <c r="G329" s="141">
        <v>100</v>
      </c>
      <c r="H329" s="141">
        <v>150</v>
      </c>
      <c r="I329" s="128">
        <f t="shared" si="50"/>
        <v>250</v>
      </c>
      <c r="J329" s="127">
        <f t="shared" si="54"/>
        <v>6250</v>
      </c>
      <c r="K329" s="129"/>
    </row>
    <row r="330" spans="1:11" s="126" customFormat="1" x14ac:dyDescent="0.2">
      <c r="A330" s="28">
        <f>IF(F330&lt;&gt;"",1+MAX($A$7:A329),"")</f>
        <v>291</v>
      </c>
      <c r="B330" s="43" t="s">
        <v>373</v>
      </c>
      <c r="C330" s="96">
        <v>40</v>
      </c>
      <c r="D330" s="121">
        <v>0</v>
      </c>
      <c r="E330" s="96">
        <f t="shared" si="53"/>
        <v>40</v>
      </c>
      <c r="F330" s="23" t="s">
        <v>106</v>
      </c>
      <c r="G330" s="141">
        <v>100</v>
      </c>
      <c r="H330" s="141">
        <v>150</v>
      </c>
      <c r="I330" s="128">
        <f t="shared" si="50"/>
        <v>250</v>
      </c>
      <c r="J330" s="127">
        <f t="shared" si="54"/>
        <v>10000</v>
      </c>
      <c r="K330" s="129"/>
    </row>
    <row r="331" spans="1:11" s="126" customFormat="1" x14ac:dyDescent="0.2">
      <c r="A331" s="28">
        <f>IF(F331&lt;&gt;"",1+MAX($A$7:A330),"")</f>
        <v>292</v>
      </c>
      <c r="B331" s="43" t="s">
        <v>374</v>
      </c>
      <c r="C331" s="96">
        <v>6</v>
      </c>
      <c r="D331" s="121">
        <v>0</v>
      </c>
      <c r="E331" s="96">
        <f t="shared" si="53"/>
        <v>6</v>
      </c>
      <c r="F331" s="23" t="s">
        <v>106</v>
      </c>
      <c r="G331" s="141">
        <v>140</v>
      </c>
      <c r="H331" s="141">
        <v>210</v>
      </c>
      <c r="I331" s="128">
        <f t="shared" si="50"/>
        <v>350</v>
      </c>
      <c r="J331" s="127">
        <f t="shared" si="54"/>
        <v>2100</v>
      </c>
      <c r="K331" s="129"/>
    </row>
    <row r="332" spans="1:11" s="126" customFormat="1" x14ac:dyDescent="0.2">
      <c r="A332" s="28">
        <f>IF(F332&lt;&gt;"",1+MAX($A$7:A331),"")</f>
        <v>293</v>
      </c>
      <c r="B332" s="43" t="s">
        <v>375</v>
      </c>
      <c r="C332" s="96">
        <v>9</v>
      </c>
      <c r="D332" s="121">
        <v>0</v>
      </c>
      <c r="E332" s="96">
        <f t="shared" si="53"/>
        <v>9</v>
      </c>
      <c r="F332" s="23" t="s">
        <v>106</v>
      </c>
      <c r="G332" s="141">
        <v>180</v>
      </c>
      <c r="H332" s="141">
        <v>270</v>
      </c>
      <c r="I332" s="128">
        <f t="shared" si="50"/>
        <v>450</v>
      </c>
      <c r="J332" s="127">
        <f t="shared" si="54"/>
        <v>4050</v>
      </c>
      <c r="K332" s="129"/>
    </row>
    <row r="333" spans="1:11" s="126" customFormat="1" x14ac:dyDescent="0.2">
      <c r="A333" s="28">
        <f>IF(F333&lt;&gt;"",1+MAX($A$7:A332),"")</f>
        <v>294</v>
      </c>
      <c r="B333" s="43" t="s">
        <v>376</v>
      </c>
      <c r="C333" s="96">
        <v>3</v>
      </c>
      <c r="D333" s="121">
        <v>0</v>
      </c>
      <c r="E333" s="96">
        <f>C333*(1+D333)</f>
        <v>3</v>
      </c>
      <c r="F333" s="23" t="s">
        <v>106</v>
      </c>
      <c r="G333" s="141">
        <v>28</v>
      </c>
      <c r="H333" s="141">
        <v>42</v>
      </c>
      <c r="I333" s="128">
        <f t="shared" si="50"/>
        <v>70</v>
      </c>
      <c r="J333" s="127">
        <f>I333*E333</f>
        <v>210</v>
      </c>
      <c r="K333" s="129"/>
    </row>
    <row r="334" spans="1:11" s="151" customFormat="1" x14ac:dyDescent="0.2">
      <c r="A334" s="146" t="str">
        <f>IF(F334&lt;&gt;"",1+MAX($A$7:A333),"")</f>
        <v/>
      </c>
      <c r="B334" s="147" t="s">
        <v>402</v>
      </c>
      <c r="C334" s="148"/>
      <c r="D334" s="148"/>
      <c r="E334" s="148"/>
      <c r="F334" s="149"/>
      <c r="G334" s="149"/>
      <c r="H334" s="149"/>
      <c r="I334" s="147"/>
      <c r="J334" s="147"/>
      <c r="K334" s="150">
        <f>SUM(J335:J354)</f>
        <v>93194.042000000001</v>
      </c>
    </row>
    <row r="335" spans="1:11" s="126" customFormat="1" x14ac:dyDescent="0.2">
      <c r="A335" s="28">
        <f>IF(F335&lt;&gt;"",1+MAX($A$7:A334),"")</f>
        <v>295</v>
      </c>
      <c r="B335" s="43" t="s">
        <v>403</v>
      </c>
      <c r="C335" s="96">
        <v>74.349999999999994</v>
      </c>
      <c r="D335" s="121">
        <v>0.1</v>
      </c>
      <c r="E335" s="96">
        <f t="shared" ref="E335:E354" si="55">C335*(1+D335)</f>
        <v>81.784999999999997</v>
      </c>
      <c r="F335" s="23" t="s">
        <v>153</v>
      </c>
      <c r="G335" s="141">
        <v>8.8000000000000007</v>
      </c>
      <c r="H335" s="141">
        <v>13.2</v>
      </c>
      <c r="I335" s="128">
        <f t="shared" si="50"/>
        <v>22</v>
      </c>
      <c r="J335" s="127">
        <f t="shared" ref="J335:J354" si="56">I335*E335</f>
        <v>1799.27</v>
      </c>
      <c r="K335" s="129"/>
    </row>
    <row r="336" spans="1:11" s="126" customFormat="1" x14ac:dyDescent="0.2">
      <c r="A336" s="28">
        <f>IF(F336&lt;&gt;"",1+MAX($A$7:A335),"")</f>
        <v>296</v>
      </c>
      <c r="B336" s="43" t="s">
        <v>404</v>
      </c>
      <c r="C336" s="96">
        <v>150</v>
      </c>
      <c r="D336" s="121">
        <v>0.1</v>
      </c>
      <c r="E336" s="96">
        <f t="shared" si="55"/>
        <v>165</v>
      </c>
      <c r="F336" s="23" t="s">
        <v>153</v>
      </c>
      <c r="G336" s="141">
        <v>8.8000000000000007</v>
      </c>
      <c r="H336" s="141">
        <v>13.2</v>
      </c>
      <c r="I336" s="128">
        <f t="shared" si="50"/>
        <v>22</v>
      </c>
      <c r="J336" s="127">
        <f t="shared" si="56"/>
        <v>3630</v>
      </c>
      <c r="K336" s="129"/>
    </row>
    <row r="337" spans="1:11" s="126" customFormat="1" x14ac:dyDescent="0.2">
      <c r="A337" s="28">
        <f>IF(F337&lt;&gt;"",1+MAX($A$7:A336),"")</f>
        <v>297</v>
      </c>
      <c r="B337" s="43" t="s">
        <v>405</v>
      </c>
      <c r="C337" s="96">
        <v>74</v>
      </c>
      <c r="D337" s="121">
        <v>0.1</v>
      </c>
      <c r="E337" s="96">
        <f t="shared" si="55"/>
        <v>81.400000000000006</v>
      </c>
      <c r="F337" s="23" t="s">
        <v>153</v>
      </c>
      <c r="G337" s="141">
        <v>12.8</v>
      </c>
      <c r="H337" s="141">
        <v>19.2</v>
      </c>
      <c r="I337" s="128">
        <f t="shared" si="50"/>
        <v>32</v>
      </c>
      <c r="J337" s="127">
        <f t="shared" si="56"/>
        <v>2604.8000000000002</v>
      </c>
      <c r="K337" s="129"/>
    </row>
    <row r="338" spans="1:11" s="126" customFormat="1" x14ac:dyDescent="0.2">
      <c r="A338" s="28">
        <f>IF(F338&lt;&gt;"",1+MAX($A$7:A337),"")</f>
        <v>298</v>
      </c>
      <c r="B338" s="43" t="s">
        <v>406</v>
      </c>
      <c r="C338" s="96">
        <v>76</v>
      </c>
      <c r="D338" s="121">
        <v>0.1</v>
      </c>
      <c r="E338" s="96">
        <f t="shared" si="55"/>
        <v>83.600000000000009</v>
      </c>
      <c r="F338" s="23" t="s">
        <v>153</v>
      </c>
      <c r="G338" s="141">
        <v>12.8</v>
      </c>
      <c r="H338" s="141">
        <v>19.2</v>
      </c>
      <c r="I338" s="128">
        <f t="shared" si="50"/>
        <v>32</v>
      </c>
      <c r="J338" s="127">
        <f t="shared" si="56"/>
        <v>2675.2000000000003</v>
      </c>
      <c r="K338" s="129"/>
    </row>
    <row r="339" spans="1:11" s="126" customFormat="1" x14ac:dyDescent="0.2">
      <c r="A339" s="28">
        <f>IF(F339&lt;&gt;"",1+MAX($A$7:A338),"")</f>
        <v>299</v>
      </c>
      <c r="B339" s="43" t="s">
        <v>407</v>
      </c>
      <c r="C339" s="96">
        <v>72</v>
      </c>
      <c r="D339" s="121">
        <v>0.1</v>
      </c>
      <c r="E339" s="96">
        <f t="shared" si="55"/>
        <v>79.2</v>
      </c>
      <c r="F339" s="23" t="s">
        <v>153</v>
      </c>
      <c r="G339" s="141">
        <v>11.200000000000001</v>
      </c>
      <c r="H339" s="141">
        <v>16.799999999999997</v>
      </c>
      <c r="I339" s="128">
        <f t="shared" si="50"/>
        <v>28</v>
      </c>
      <c r="J339" s="127">
        <f t="shared" si="56"/>
        <v>2217.6</v>
      </c>
      <c r="K339" s="129"/>
    </row>
    <row r="340" spans="1:11" s="126" customFormat="1" x14ac:dyDescent="0.2">
      <c r="A340" s="28">
        <f>IF(F340&lt;&gt;"",1+MAX($A$7:A339),"")</f>
        <v>300</v>
      </c>
      <c r="B340" s="139" t="s">
        <v>408</v>
      </c>
      <c r="C340" s="96">
        <v>60</v>
      </c>
      <c r="D340" s="121">
        <v>0.1</v>
      </c>
      <c r="E340" s="96">
        <f t="shared" si="55"/>
        <v>66</v>
      </c>
      <c r="F340" s="23" t="s">
        <v>153</v>
      </c>
      <c r="G340" s="141">
        <v>9.6000000000000014</v>
      </c>
      <c r="H340" s="141">
        <v>14.399999999999999</v>
      </c>
      <c r="I340" s="128">
        <f t="shared" si="50"/>
        <v>24</v>
      </c>
      <c r="J340" s="127">
        <f t="shared" si="56"/>
        <v>1584</v>
      </c>
      <c r="K340" s="129"/>
    </row>
    <row r="341" spans="1:11" s="126" customFormat="1" x14ac:dyDescent="0.2">
      <c r="A341" s="28">
        <f>IF(F341&lt;&gt;"",1+MAX($A$7:A340),"")</f>
        <v>301</v>
      </c>
      <c r="B341" s="43" t="s">
        <v>409</v>
      </c>
      <c r="C341" s="96">
        <v>140.16999999999999</v>
      </c>
      <c r="D341" s="121">
        <v>0.1</v>
      </c>
      <c r="E341" s="96">
        <f t="shared" si="55"/>
        <v>154.18700000000001</v>
      </c>
      <c r="F341" s="23" t="s">
        <v>153</v>
      </c>
      <c r="G341" s="141">
        <v>11.200000000000001</v>
      </c>
      <c r="H341" s="141">
        <v>16.799999999999997</v>
      </c>
      <c r="I341" s="128">
        <f t="shared" si="50"/>
        <v>28</v>
      </c>
      <c r="J341" s="127">
        <f t="shared" si="56"/>
        <v>4317.2360000000008</v>
      </c>
      <c r="K341" s="129"/>
    </row>
    <row r="342" spans="1:11" s="126" customFormat="1" x14ac:dyDescent="0.2">
      <c r="A342" s="28">
        <f>IF(F342&lt;&gt;"",1+MAX($A$7:A341),"")</f>
        <v>302</v>
      </c>
      <c r="B342" s="43" t="s">
        <v>410</v>
      </c>
      <c r="C342" s="96">
        <v>150.18</v>
      </c>
      <c r="D342" s="121">
        <v>0.1</v>
      </c>
      <c r="E342" s="96">
        <f t="shared" si="55"/>
        <v>165.19800000000001</v>
      </c>
      <c r="F342" s="23" t="s">
        <v>153</v>
      </c>
      <c r="G342" s="141">
        <v>12.8</v>
      </c>
      <c r="H342" s="141">
        <v>19.2</v>
      </c>
      <c r="I342" s="128">
        <f t="shared" si="50"/>
        <v>32</v>
      </c>
      <c r="J342" s="127">
        <f t="shared" si="56"/>
        <v>5286.3360000000002</v>
      </c>
      <c r="K342" s="129"/>
    </row>
    <row r="343" spans="1:11" s="126" customFormat="1" x14ac:dyDescent="0.2">
      <c r="A343" s="28">
        <f>IF(F343&lt;&gt;"",1+MAX($A$7:A342),"")</f>
        <v>303</v>
      </c>
      <c r="B343" s="43" t="s">
        <v>411</v>
      </c>
      <c r="C343" s="96">
        <v>210</v>
      </c>
      <c r="D343" s="121">
        <v>0.1</v>
      </c>
      <c r="E343" s="96">
        <f t="shared" si="55"/>
        <v>231.00000000000003</v>
      </c>
      <c r="F343" s="23" t="s">
        <v>153</v>
      </c>
      <c r="G343" s="141">
        <v>14.4</v>
      </c>
      <c r="H343" s="141">
        <v>21.6</v>
      </c>
      <c r="I343" s="128">
        <f t="shared" si="50"/>
        <v>36</v>
      </c>
      <c r="J343" s="127">
        <f t="shared" si="56"/>
        <v>8316.0000000000018</v>
      </c>
      <c r="K343" s="129"/>
    </row>
    <row r="344" spans="1:11" s="126" customFormat="1" x14ac:dyDescent="0.2">
      <c r="A344" s="28">
        <f>IF(F344&lt;&gt;"",1+MAX($A$7:A343),"")</f>
        <v>304</v>
      </c>
      <c r="B344" s="43" t="s">
        <v>412</v>
      </c>
      <c r="C344" s="96">
        <v>65</v>
      </c>
      <c r="D344" s="121">
        <v>0.1</v>
      </c>
      <c r="E344" s="96">
        <f t="shared" si="55"/>
        <v>71.5</v>
      </c>
      <c r="F344" s="23" t="s">
        <v>153</v>
      </c>
      <c r="G344" s="141">
        <v>14.4</v>
      </c>
      <c r="H344" s="141">
        <v>21.6</v>
      </c>
      <c r="I344" s="128">
        <f t="shared" si="50"/>
        <v>36</v>
      </c>
      <c r="J344" s="127">
        <f t="shared" si="56"/>
        <v>2574</v>
      </c>
      <c r="K344" s="129"/>
    </row>
    <row r="345" spans="1:11" s="126" customFormat="1" x14ac:dyDescent="0.2">
      <c r="A345" s="28">
        <f>IF(F345&lt;&gt;"",1+MAX($A$7:A344),"")</f>
        <v>305</v>
      </c>
      <c r="B345" s="43" t="s">
        <v>413</v>
      </c>
      <c r="C345" s="96">
        <v>95</v>
      </c>
      <c r="D345" s="121">
        <v>0.1</v>
      </c>
      <c r="E345" s="96">
        <f t="shared" si="55"/>
        <v>104.50000000000001</v>
      </c>
      <c r="F345" s="23" t="s">
        <v>153</v>
      </c>
      <c r="G345" s="141">
        <v>14.4</v>
      </c>
      <c r="H345" s="141">
        <v>21.6</v>
      </c>
      <c r="I345" s="128">
        <f t="shared" si="50"/>
        <v>36</v>
      </c>
      <c r="J345" s="127">
        <f t="shared" si="56"/>
        <v>3762.0000000000005</v>
      </c>
      <c r="K345" s="129"/>
    </row>
    <row r="346" spans="1:11" s="126" customFormat="1" x14ac:dyDescent="0.2">
      <c r="A346" s="28">
        <f>IF(F346&lt;&gt;"",1+MAX($A$7:A345),"")</f>
        <v>306</v>
      </c>
      <c r="B346" s="43" t="s">
        <v>414</v>
      </c>
      <c r="C346" s="96">
        <v>125</v>
      </c>
      <c r="D346" s="121">
        <v>0.1</v>
      </c>
      <c r="E346" s="96">
        <f t="shared" si="55"/>
        <v>137.5</v>
      </c>
      <c r="F346" s="23" t="s">
        <v>153</v>
      </c>
      <c r="G346" s="141">
        <v>7.2</v>
      </c>
      <c r="H346" s="141">
        <v>10.8</v>
      </c>
      <c r="I346" s="128">
        <f t="shared" si="50"/>
        <v>18</v>
      </c>
      <c r="J346" s="127">
        <f t="shared" si="56"/>
        <v>2475</v>
      </c>
      <c r="K346" s="129"/>
    </row>
    <row r="347" spans="1:11" s="126" customFormat="1" x14ac:dyDescent="0.2">
      <c r="A347" s="28">
        <f>IF(F347&lt;&gt;"",1+MAX($A$7:A346),"")</f>
        <v>307</v>
      </c>
      <c r="B347" s="43" t="s">
        <v>415</v>
      </c>
      <c r="C347" s="96">
        <v>237</v>
      </c>
      <c r="D347" s="121">
        <v>0.1</v>
      </c>
      <c r="E347" s="96">
        <f t="shared" si="55"/>
        <v>260.70000000000005</v>
      </c>
      <c r="F347" s="23" t="s">
        <v>153</v>
      </c>
      <c r="G347" s="141">
        <v>7.2</v>
      </c>
      <c r="H347" s="141">
        <v>10.8</v>
      </c>
      <c r="I347" s="128">
        <f t="shared" si="50"/>
        <v>18</v>
      </c>
      <c r="J347" s="127">
        <f t="shared" si="56"/>
        <v>4692.6000000000004</v>
      </c>
      <c r="K347" s="129"/>
    </row>
    <row r="348" spans="1:11" s="126" customFormat="1" x14ac:dyDescent="0.2">
      <c r="A348" s="28">
        <f>IF(F348&lt;&gt;"",1+MAX($A$7:A347),"")</f>
        <v>308</v>
      </c>
      <c r="B348" s="43" t="s">
        <v>416</v>
      </c>
      <c r="C348" s="96">
        <v>335</v>
      </c>
      <c r="D348" s="121">
        <v>0.1</v>
      </c>
      <c r="E348" s="96">
        <f t="shared" si="55"/>
        <v>368.50000000000006</v>
      </c>
      <c r="F348" s="23" t="s">
        <v>153</v>
      </c>
      <c r="G348" s="141">
        <v>10.4</v>
      </c>
      <c r="H348" s="141">
        <v>15.6</v>
      </c>
      <c r="I348" s="128">
        <f t="shared" si="50"/>
        <v>26</v>
      </c>
      <c r="J348" s="127">
        <f t="shared" si="56"/>
        <v>9581.0000000000018</v>
      </c>
      <c r="K348" s="129"/>
    </row>
    <row r="349" spans="1:11" s="126" customFormat="1" x14ac:dyDescent="0.2">
      <c r="A349" s="28">
        <f>IF(F349&lt;&gt;"",1+MAX($A$7:A348),"")</f>
        <v>309</v>
      </c>
      <c r="B349" s="43" t="s">
        <v>417</v>
      </c>
      <c r="C349" s="96">
        <v>245</v>
      </c>
      <c r="D349" s="121">
        <v>0.1</v>
      </c>
      <c r="E349" s="96">
        <f t="shared" si="55"/>
        <v>269.5</v>
      </c>
      <c r="F349" s="23" t="s">
        <v>153</v>
      </c>
      <c r="G349" s="141">
        <v>8.8000000000000007</v>
      </c>
      <c r="H349" s="141">
        <v>13.2</v>
      </c>
      <c r="I349" s="128">
        <f t="shared" si="50"/>
        <v>22</v>
      </c>
      <c r="J349" s="127">
        <f t="shared" si="56"/>
        <v>5929</v>
      </c>
      <c r="K349" s="129"/>
    </row>
    <row r="350" spans="1:11" s="126" customFormat="1" x14ac:dyDescent="0.2">
      <c r="A350" s="28">
        <f>IF(F350&lt;&gt;"",1+MAX($A$7:A349),"")</f>
        <v>310</v>
      </c>
      <c r="B350" s="43" t="s">
        <v>419</v>
      </c>
      <c r="C350" s="96">
        <v>5</v>
      </c>
      <c r="D350" s="121">
        <v>0</v>
      </c>
      <c r="E350" s="96">
        <f t="shared" si="55"/>
        <v>5</v>
      </c>
      <c r="F350" s="23" t="s">
        <v>106</v>
      </c>
      <c r="G350" s="141">
        <v>380</v>
      </c>
      <c r="H350" s="141">
        <v>570</v>
      </c>
      <c r="I350" s="128">
        <f t="shared" si="50"/>
        <v>950</v>
      </c>
      <c r="J350" s="127">
        <f t="shared" si="56"/>
        <v>4750</v>
      </c>
      <c r="K350" s="129"/>
    </row>
    <row r="351" spans="1:11" s="126" customFormat="1" x14ac:dyDescent="0.2">
      <c r="A351" s="28">
        <f>IF(F351&lt;&gt;"",1+MAX($A$7:A350),"")</f>
        <v>311</v>
      </c>
      <c r="B351" s="43" t="s">
        <v>420</v>
      </c>
      <c r="C351" s="96">
        <v>8</v>
      </c>
      <c r="D351" s="121">
        <v>0</v>
      </c>
      <c r="E351" s="96">
        <f t="shared" si="55"/>
        <v>8</v>
      </c>
      <c r="F351" s="23" t="s">
        <v>106</v>
      </c>
      <c r="G351" s="141">
        <v>340</v>
      </c>
      <c r="H351" s="141">
        <v>510</v>
      </c>
      <c r="I351" s="128">
        <f t="shared" si="50"/>
        <v>850</v>
      </c>
      <c r="J351" s="127">
        <f t="shared" si="56"/>
        <v>6800</v>
      </c>
      <c r="K351" s="129"/>
    </row>
    <row r="352" spans="1:11" s="126" customFormat="1" x14ac:dyDescent="0.2">
      <c r="A352" s="28">
        <f>IF(F352&lt;&gt;"",1+MAX($A$7:A351),"")</f>
        <v>312</v>
      </c>
      <c r="B352" s="43" t="s">
        <v>421</v>
      </c>
      <c r="C352" s="96">
        <v>3</v>
      </c>
      <c r="D352" s="121">
        <v>0</v>
      </c>
      <c r="E352" s="96">
        <f t="shared" si="55"/>
        <v>3</v>
      </c>
      <c r="F352" s="23" t="s">
        <v>106</v>
      </c>
      <c r="G352" s="141">
        <v>1280</v>
      </c>
      <c r="H352" s="141">
        <v>1920</v>
      </c>
      <c r="I352" s="128">
        <f t="shared" si="50"/>
        <v>3200</v>
      </c>
      <c r="J352" s="127">
        <f t="shared" si="56"/>
        <v>9600</v>
      </c>
      <c r="K352" s="129"/>
    </row>
    <row r="353" spans="1:11" s="126" customFormat="1" x14ac:dyDescent="0.2">
      <c r="A353" s="28">
        <f>IF(F353&lt;&gt;"",1+MAX($A$7:A352),"")</f>
        <v>313</v>
      </c>
      <c r="B353" s="43" t="s">
        <v>422</v>
      </c>
      <c r="C353" s="96">
        <v>4</v>
      </c>
      <c r="D353" s="121">
        <v>0</v>
      </c>
      <c r="E353" s="96">
        <f t="shared" si="55"/>
        <v>4</v>
      </c>
      <c r="F353" s="23" t="s">
        <v>106</v>
      </c>
      <c r="G353" s="141">
        <v>500</v>
      </c>
      <c r="H353" s="141">
        <v>750</v>
      </c>
      <c r="I353" s="128">
        <f t="shared" si="50"/>
        <v>1250</v>
      </c>
      <c r="J353" s="127">
        <f t="shared" si="56"/>
        <v>5000</v>
      </c>
      <c r="K353" s="129"/>
    </row>
    <row r="354" spans="1:11" s="126" customFormat="1" ht="16.5" thickBot="1" x14ac:dyDescent="0.25">
      <c r="A354" s="28">
        <f>IF(F354&lt;&gt;"",1+MAX($A$7:A353),"")</f>
        <v>314</v>
      </c>
      <c r="B354" s="43" t="s">
        <v>423</v>
      </c>
      <c r="C354" s="96">
        <v>4</v>
      </c>
      <c r="D354" s="121">
        <v>0</v>
      </c>
      <c r="E354" s="96">
        <f t="shared" si="55"/>
        <v>4</v>
      </c>
      <c r="F354" s="23" t="s">
        <v>106</v>
      </c>
      <c r="G354" s="141">
        <v>560</v>
      </c>
      <c r="H354" s="141">
        <v>840</v>
      </c>
      <c r="I354" s="128">
        <f t="shared" si="50"/>
        <v>1400</v>
      </c>
      <c r="J354" s="127">
        <f t="shared" si="56"/>
        <v>5600</v>
      </c>
      <c r="K354" s="129"/>
    </row>
    <row r="355" spans="1:11" ht="16.5" thickBot="1" x14ac:dyDescent="0.25">
      <c r="A355" s="152" t="s">
        <v>67</v>
      </c>
      <c r="B355" s="153"/>
      <c r="C355" s="154"/>
      <c r="D355" s="154"/>
      <c r="E355" s="154"/>
      <c r="F355" s="155"/>
      <c r="G355" s="155"/>
      <c r="H355" s="155"/>
      <c r="I355" s="153"/>
      <c r="J355" s="156">
        <f>SUM(J7:J354)</f>
        <v>1761815.235885259</v>
      </c>
      <c r="K355" s="156">
        <f>SUM(K7:K354)</f>
        <v>1761815.2358852592</v>
      </c>
    </row>
    <row r="356" spans="1:11" ht="16.5" thickBot="1" x14ac:dyDescent="0.25">
      <c r="A356" s="152" t="s">
        <v>96</v>
      </c>
      <c r="B356" s="153"/>
      <c r="C356" s="154"/>
      <c r="D356" s="154"/>
      <c r="E356" s="154"/>
      <c r="F356" s="155"/>
      <c r="G356" s="155"/>
      <c r="H356" s="155"/>
      <c r="I356" s="157">
        <v>0.25</v>
      </c>
      <c r="J356" s="156">
        <f>I356*J355</f>
        <v>440453.80897131475</v>
      </c>
      <c r="K356" s="158">
        <f>I356*K355</f>
        <v>440453.80897131481</v>
      </c>
    </row>
    <row r="357" spans="1:11" x14ac:dyDescent="0.2">
      <c r="A357" s="159" t="s">
        <v>68</v>
      </c>
      <c r="B357" s="160"/>
      <c r="C357" s="161"/>
      <c r="D357" s="161"/>
      <c r="E357" s="161"/>
      <c r="F357" s="162"/>
      <c r="G357" s="162"/>
      <c r="H357" s="162"/>
      <c r="I357" s="160"/>
      <c r="J357" s="163">
        <f>SUM(J355:J356)</f>
        <v>2202269.0448565739</v>
      </c>
      <c r="K357" s="164">
        <f>SUM(K355:K356)</f>
        <v>2202269.0448565739</v>
      </c>
    </row>
    <row r="358" spans="1:11" s="126" customFormat="1" x14ac:dyDescent="0.2">
      <c r="A358" s="28"/>
      <c r="B358" s="43"/>
      <c r="C358" s="96"/>
      <c r="D358" s="121"/>
      <c r="E358" s="96"/>
      <c r="F358" s="23"/>
      <c r="G358" s="23"/>
      <c r="H358" s="23"/>
      <c r="I358" s="128"/>
      <c r="J358" s="127"/>
      <c r="K358" s="129"/>
    </row>
    <row r="359" spans="1:11" s="126" customFormat="1" x14ac:dyDescent="0.2">
      <c r="A359" s="28"/>
      <c r="B359" s="133"/>
      <c r="C359" s="96"/>
      <c r="D359" s="121"/>
      <c r="E359" s="96"/>
      <c r="F359" s="23"/>
      <c r="G359" s="23"/>
      <c r="H359" s="23"/>
      <c r="I359" s="128"/>
      <c r="J359" s="127"/>
      <c r="K359" s="129"/>
    </row>
    <row r="360" spans="1:11" s="126" customFormat="1" ht="45.75" customHeight="1" x14ac:dyDescent="0.2">
      <c r="A360" s="172" t="s">
        <v>98</v>
      </c>
      <c r="B360" s="173"/>
      <c r="C360" s="173"/>
      <c r="D360" s="173"/>
      <c r="E360" s="173"/>
      <c r="F360" s="173"/>
      <c r="G360" s="173"/>
      <c r="H360" s="173"/>
      <c r="I360" s="173"/>
      <c r="J360" s="173"/>
      <c r="K360" s="174"/>
    </row>
    <row r="361" spans="1:11" s="126" customFormat="1" ht="45.75" customHeight="1" x14ac:dyDescent="0.2">
      <c r="A361" s="172" t="s">
        <v>99</v>
      </c>
      <c r="B361" s="173"/>
      <c r="C361" s="173"/>
      <c r="D361" s="173"/>
      <c r="E361" s="173"/>
      <c r="F361" s="173"/>
      <c r="G361" s="173"/>
      <c r="H361" s="173"/>
      <c r="I361" s="173"/>
      <c r="J361" s="173"/>
      <c r="K361" s="174"/>
    </row>
    <row r="362" spans="1:11" x14ac:dyDescent="0.2">
      <c r="A362" s="56"/>
      <c r="B362" s="130"/>
      <c r="C362" s="131"/>
      <c r="D362" s="131"/>
      <c r="E362" s="131"/>
      <c r="F362" s="102"/>
      <c r="G362" s="102"/>
      <c r="H362" s="102"/>
      <c r="I362" s="130"/>
      <c r="J362" s="130"/>
      <c r="K362" s="132"/>
    </row>
  </sheetData>
  <sheetProtection algorithmName="SHA-512" hashValue="etkUJxrZTA54RVLe5xJiY+o/mYWjIDKHHQhINk3s85v5SyTBU7laO4zBc2S9bT+crb4wxMw0UWIO9COAbwmwSQ==" saltValue="hTD5YXhQWUYpInL/1ywWcA==" spinCount="100000" sheet="1" objects="1" scenarios="1" selectLockedCells="1" selectUnlockedCells="1"/>
  <mergeCells count="5">
    <mergeCell ref="A360:K360"/>
    <mergeCell ref="A361:K361"/>
    <mergeCell ref="C4:E4"/>
    <mergeCell ref="C5:I5"/>
    <mergeCell ref="B1:B4"/>
  </mergeCells>
  <printOptions horizontalCentered="1"/>
  <pageMargins left="0.7" right="0.7" top="0.5" bottom="0.5" header="0.3" footer="0.3"/>
  <pageSetup paperSize="9" scale="10" orientation="portrait" r:id="rId1"/>
  <rowBreaks count="2" manualBreakCount="2">
    <brk id="346" max="8" man="1"/>
    <brk id="359" max="8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view="pageBreakPreview" zoomScale="85" zoomScaleNormal="85" zoomScaleSheetLayoutView="85" workbookViewId="0">
      <pane ySplit="7" topLeftCell="A8" activePane="bottomLeft" state="frozen"/>
      <selection pane="bottomLeft" activeCell="E15" sqref="E15"/>
    </sheetView>
  </sheetViews>
  <sheetFormatPr defaultColWidth="9.6640625" defaultRowHeight="15.75" x14ac:dyDescent="0.2"/>
  <cols>
    <col min="1" max="1" width="7.109375" style="23" customWidth="1"/>
    <col min="2" max="2" width="8.109375" style="23" customWidth="1"/>
    <col min="3" max="3" width="38.33203125" style="67" customWidth="1"/>
    <col min="4" max="5" width="8.109375" style="68" customWidth="1"/>
    <col min="6" max="6" width="13.21875" style="68" customWidth="1"/>
    <col min="7" max="7" width="6.5546875" style="23" customWidth="1"/>
    <col min="8" max="8" width="10.5546875" style="67" customWidth="1"/>
    <col min="9" max="9" width="11.109375" style="66" customWidth="1"/>
    <col min="10" max="10" width="36.109375" style="64" bestFit="1" customWidth="1"/>
    <col min="11" max="16384" width="9.6640625" style="64"/>
  </cols>
  <sheetData>
    <row r="1" spans="1:16" x14ac:dyDescent="0.2">
      <c r="C1" s="60"/>
      <c r="D1" s="61"/>
      <c r="E1" s="61"/>
      <c r="F1" s="61"/>
      <c r="G1" s="61"/>
      <c r="H1" s="62"/>
      <c r="I1" s="63"/>
    </row>
    <row r="2" spans="1:16" x14ac:dyDescent="0.2">
      <c r="C2" s="65" t="s">
        <v>6</v>
      </c>
      <c r="D2" s="60" t="s">
        <v>10</v>
      </c>
      <c r="E2" s="61"/>
      <c r="F2" s="61"/>
      <c r="G2" s="61"/>
      <c r="H2" s="64"/>
      <c r="I2" s="63"/>
    </row>
    <row r="3" spans="1:16" x14ac:dyDescent="0.2">
      <c r="C3" s="65" t="s">
        <v>7</v>
      </c>
      <c r="D3" s="60" t="s">
        <v>71</v>
      </c>
      <c r="E3" s="61"/>
      <c r="F3" s="61"/>
      <c r="G3" s="61"/>
      <c r="H3" s="64"/>
      <c r="I3" s="63"/>
    </row>
    <row r="4" spans="1:16" x14ac:dyDescent="0.2">
      <c r="C4" s="64"/>
      <c r="D4" s="60" t="s">
        <v>72</v>
      </c>
      <c r="E4" s="61"/>
      <c r="F4" s="61"/>
      <c r="G4" s="61"/>
      <c r="H4" s="64"/>
      <c r="I4" s="63"/>
    </row>
    <row r="5" spans="1:16" x14ac:dyDescent="0.2">
      <c r="C5" s="61"/>
      <c r="D5" s="61"/>
      <c r="E5" s="61"/>
      <c r="F5" s="61"/>
      <c r="H5" s="60"/>
    </row>
    <row r="6" spans="1:16" x14ac:dyDescent="0.2">
      <c r="G6" s="64"/>
      <c r="H6" s="69" t="s">
        <v>1</v>
      </c>
      <c r="I6" s="70">
        <f ca="1">TODAY()</f>
        <v>45121</v>
      </c>
    </row>
    <row r="7" spans="1:16" s="74" customFormat="1" x14ac:dyDescent="0.2">
      <c r="A7" s="24" t="s">
        <v>5</v>
      </c>
      <c r="B7" s="118" t="s">
        <v>94</v>
      </c>
      <c r="C7" s="71" t="s">
        <v>2</v>
      </c>
      <c r="D7" s="71" t="s">
        <v>8</v>
      </c>
      <c r="E7" s="71" t="s">
        <v>69</v>
      </c>
      <c r="F7" s="71" t="s">
        <v>70</v>
      </c>
      <c r="G7" s="72" t="s">
        <v>0</v>
      </c>
      <c r="H7" s="71" t="s">
        <v>3</v>
      </c>
      <c r="I7" s="73" t="s">
        <v>4</v>
      </c>
      <c r="L7" s="178" t="s">
        <v>80</v>
      </c>
      <c r="M7" s="178"/>
    </row>
    <row r="8" spans="1:16" x14ac:dyDescent="0.2">
      <c r="A8" s="58"/>
      <c r="B8" s="119"/>
      <c r="C8" s="75" t="s">
        <v>39</v>
      </c>
      <c r="D8" s="76"/>
      <c r="E8" s="76"/>
      <c r="F8" s="76"/>
      <c r="G8" s="77"/>
      <c r="H8" s="78"/>
      <c r="I8" s="79"/>
      <c r="L8" s="80" t="s">
        <v>78</v>
      </c>
      <c r="M8" s="80" t="s">
        <v>79</v>
      </c>
    </row>
    <row r="9" spans="1:16" ht="31.5" x14ac:dyDescent="0.2">
      <c r="A9" s="59">
        <v>1</v>
      </c>
      <c r="B9" s="84" t="s">
        <v>77</v>
      </c>
      <c r="C9" s="81" t="s">
        <v>82</v>
      </c>
      <c r="D9" s="82">
        <v>11635</v>
      </c>
      <c r="E9" s="83">
        <v>0.1</v>
      </c>
      <c r="F9" s="82">
        <f>D9*(1+E9)</f>
        <v>12798.500000000002</v>
      </c>
      <c r="G9" s="84" t="s">
        <v>21</v>
      </c>
      <c r="H9" s="85">
        <v>4</v>
      </c>
      <c r="I9" s="86">
        <f t="shared" ref="I9:I19" si="0">H9*F9</f>
        <v>51194.000000000007</v>
      </c>
      <c r="J9" s="64" t="s">
        <v>52</v>
      </c>
      <c r="K9" s="23" t="s">
        <v>13</v>
      </c>
      <c r="L9" s="80">
        <f>2520-80</f>
        <v>2440</v>
      </c>
      <c r="M9" s="80">
        <v>280</v>
      </c>
      <c r="N9" s="64">
        <f>(2440*2+290*2+2345+3830)</f>
        <v>11635</v>
      </c>
    </row>
    <row r="10" spans="1:16" ht="31.5" x14ac:dyDescent="0.2">
      <c r="A10" s="28">
        <v>2</v>
      </c>
      <c r="B10" s="23" t="s">
        <v>77</v>
      </c>
      <c r="C10" s="87" t="s">
        <v>83</v>
      </c>
      <c r="D10" s="88">
        <v>1185</v>
      </c>
      <c r="E10" s="89">
        <v>0.1</v>
      </c>
      <c r="F10" s="88">
        <f>D10*(1+E10)</f>
        <v>1303.5</v>
      </c>
      <c r="G10" s="23" t="s">
        <v>21</v>
      </c>
      <c r="H10" s="90">
        <v>4.5</v>
      </c>
      <c r="I10" s="91">
        <f t="shared" si="0"/>
        <v>5865.75</v>
      </c>
      <c r="J10" s="64" t="s">
        <v>53</v>
      </c>
      <c r="K10" s="23" t="s">
        <v>14</v>
      </c>
      <c r="L10" s="80">
        <f>210-80</f>
        <v>130</v>
      </c>
      <c r="M10" s="80">
        <v>80</v>
      </c>
      <c r="N10" s="64">
        <f>(280*2+325+300)</f>
        <v>1185</v>
      </c>
    </row>
    <row r="11" spans="1:16" ht="31.5" x14ac:dyDescent="0.2">
      <c r="A11" s="28">
        <v>3</v>
      </c>
      <c r="B11" s="23" t="s">
        <v>77</v>
      </c>
      <c r="C11" s="87" t="s">
        <v>84</v>
      </c>
      <c r="D11" s="88">
        <v>260</v>
      </c>
      <c r="E11" s="89">
        <v>0.1</v>
      </c>
      <c r="F11" s="88">
        <f t="shared" ref="F11:F19" si="1">D11*(1+E11)</f>
        <v>286</v>
      </c>
      <c r="G11" s="23" t="s">
        <v>21</v>
      </c>
      <c r="H11" s="90">
        <v>4.5</v>
      </c>
      <c r="I11" s="91">
        <f t="shared" si="0"/>
        <v>1287</v>
      </c>
      <c r="J11" s="64" t="s">
        <v>14</v>
      </c>
      <c r="K11" s="23" t="s">
        <v>41</v>
      </c>
      <c r="L11" s="80"/>
      <c r="M11" s="80"/>
      <c r="N11" s="64">
        <f>130*2</f>
        <v>260</v>
      </c>
    </row>
    <row r="12" spans="1:16" ht="31.5" x14ac:dyDescent="0.2">
      <c r="A12" s="28">
        <v>4</v>
      </c>
      <c r="B12" s="23" t="s">
        <v>77</v>
      </c>
      <c r="C12" s="92" t="s">
        <v>85</v>
      </c>
      <c r="D12" s="88">
        <v>160</v>
      </c>
      <c r="E12" s="89">
        <v>0.1</v>
      </c>
      <c r="F12" s="88">
        <f t="shared" si="1"/>
        <v>176</v>
      </c>
      <c r="G12" s="23" t="s">
        <v>21</v>
      </c>
      <c r="H12" s="90">
        <v>5</v>
      </c>
      <c r="I12" s="91">
        <f t="shared" si="0"/>
        <v>880</v>
      </c>
      <c r="J12" s="64" t="s">
        <v>14</v>
      </c>
      <c r="K12" s="23" t="s">
        <v>15</v>
      </c>
      <c r="L12" s="80">
        <v>290</v>
      </c>
      <c r="M12" s="80"/>
      <c r="N12" s="64">
        <f>80*2</f>
        <v>160</v>
      </c>
    </row>
    <row r="13" spans="1:16" s="95" customFormat="1" ht="31.5" x14ac:dyDescent="0.2">
      <c r="A13" s="28">
        <v>5</v>
      </c>
      <c r="B13" s="23" t="s">
        <v>77</v>
      </c>
      <c r="C13" s="87" t="s">
        <v>86</v>
      </c>
      <c r="D13" s="88">
        <v>300</v>
      </c>
      <c r="E13" s="89">
        <v>0.1</v>
      </c>
      <c r="F13" s="88">
        <f t="shared" si="1"/>
        <v>330</v>
      </c>
      <c r="G13" s="23" t="s">
        <v>21</v>
      </c>
      <c r="H13" s="90">
        <v>4</v>
      </c>
      <c r="I13" s="91">
        <f t="shared" si="0"/>
        <v>1320</v>
      </c>
      <c r="J13" s="93" t="s">
        <v>18</v>
      </c>
      <c r="K13" s="23" t="s">
        <v>16</v>
      </c>
      <c r="L13" s="80">
        <v>1200</v>
      </c>
      <c r="M13" s="94"/>
      <c r="N13" s="95">
        <f>150*2</f>
        <v>300</v>
      </c>
    </row>
    <row r="14" spans="1:16" s="95" customFormat="1" x14ac:dyDescent="0.2">
      <c r="A14" s="28">
        <v>6</v>
      </c>
      <c r="B14" s="23" t="s">
        <v>74</v>
      </c>
      <c r="C14" s="87" t="s">
        <v>31</v>
      </c>
      <c r="D14" s="88">
        <v>14740</v>
      </c>
      <c r="E14" s="89">
        <v>0.1</v>
      </c>
      <c r="F14" s="88">
        <f t="shared" si="1"/>
        <v>16214.000000000002</v>
      </c>
      <c r="G14" s="23" t="s">
        <v>21</v>
      </c>
      <c r="H14" s="90">
        <v>4</v>
      </c>
      <c r="I14" s="91">
        <f t="shared" si="0"/>
        <v>64856.000000000007</v>
      </c>
      <c r="J14" s="64" t="s">
        <v>32</v>
      </c>
      <c r="K14" s="23" t="s">
        <v>17</v>
      </c>
      <c r="L14" s="80">
        <f>2670-325</f>
        <v>2345</v>
      </c>
      <c r="M14" s="80">
        <v>325</v>
      </c>
      <c r="N14" s="95">
        <f>SUM(N9:N13)+L13</f>
        <v>14740</v>
      </c>
      <c r="O14" s="95">
        <f>SUM(L9:M10)*2+L13+SUM(L14:M14)+L15*2+SUM(L17:M17)+L12*2</f>
        <v>14740</v>
      </c>
      <c r="P14" s="95">
        <f>N14-O14</f>
        <v>0</v>
      </c>
    </row>
    <row r="15" spans="1:16" s="95" customFormat="1" x14ac:dyDescent="0.2">
      <c r="A15" s="28">
        <v>7</v>
      </c>
      <c r="B15" s="23" t="s">
        <v>89</v>
      </c>
      <c r="C15" s="87" t="s">
        <v>75</v>
      </c>
      <c r="D15" s="88">
        <v>5750</v>
      </c>
      <c r="E15" s="89">
        <v>0.1</v>
      </c>
      <c r="F15" s="88">
        <f t="shared" si="1"/>
        <v>6325.0000000000009</v>
      </c>
      <c r="G15" s="23" t="s">
        <v>21</v>
      </c>
      <c r="H15" s="90">
        <v>2.5</v>
      </c>
      <c r="I15" s="91">
        <f t="shared" si="0"/>
        <v>15812.500000000002</v>
      </c>
      <c r="J15" s="64" t="s">
        <v>34</v>
      </c>
      <c r="K15" s="23" t="s">
        <v>18</v>
      </c>
      <c r="L15" s="80">
        <v>150</v>
      </c>
      <c r="M15" s="94"/>
      <c r="N15" s="95">
        <f>SUM(L9:M10)+SUM(L14:M15)</f>
        <v>5750</v>
      </c>
    </row>
    <row r="16" spans="1:16" s="95" customFormat="1" x14ac:dyDescent="0.2">
      <c r="A16" s="28">
        <v>8</v>
      </c>
      <c r="B16" s="23" t="s">
        <v>90</v>
      </c>
      <c r="C16" s="87" t="s">
        <v>76</v>
      </c>
      <c r="D16" s="96">
        <v>290</v>
      </c>
      <c r="E16" s="89">
        <v>0.1</v>
      </c>
      <c r="F16" s="88">
        <f t="shared" si="1"/>
        <v>319</v>
      </c>
      <c r="G16" s="23" t="s">
        <v>21</v>
      </c>
      <c r="H16" s="90">
        <v>2</v>
      </c>
      <c r="I16" s="91">
        <f t="shared" si="0"/>
        <v>638</v>
      </c>
      <c r="J16" s="64" t="s">
        <v>15</v>
      </c>
      <c r="K16" s="23" t="s">
        <v>19</v>
      </c>
      <c r="L16" s="80">
        <v>20</v>
      </c>
      <c r="M16" s="94"/>
    </row>
    <row r="17" spans="1:14" s="95" customFormat="1" x14ac:dyDescent="0.2">
      <c r="A17" s="28">
        <v>8</v>
      </c>
      <c r="B17" s="23" t="s">
        <v>91</v>
      </c>
      <c r="C17" s="87" t="s">
        <v>92</v>
      </c>
      <c r="D17" s="96">
        <v>4130</v>
      </c>
      <c r="E17" s="89">
        <v>0.1</v>
      </c>
      <c r="F17" s="88">
        <f t="shared" si="1"/>
        <v>4543</v>
      </c>
      <c r="G17" s="23" t="s">
        <v>21</v>
      </c>
      <c r="H17" s="90">
        <v>3</v>
      </c>
      <c r="I17" s="91">
        <f t="shared" si="0"/>
        <v>13629</v>
      </c>
      <c r="J17" s="64"/>
      <c r="K17" s="23" t="s">
        <v>20</v>
      </c>
      <c r="L17" s="80">
        <v>3830</v>
      </c>
      <c r="M17" s="94">
        <v>300</v>
      </c>
      <c r="N17" s="95">
        <f>SUM(L17:M17)</f>
        <v>4130</v>
      </c>
    </row>
    <row r="18" spans="1:14" s="95" customFormat="1" x14ac:dyDescent="0.2">
      <c r="A18" s="28">
        <v>9</v>
      </c>
      <c r="B18" s="23" t="s">
        <v>93</v>
      </c>
      <c r="C18" s="97" t="s">
        <v>87</v>
      </c>
      <c r="D18" s="96">
        <v>5600</v>
      </c>
      <c r="E18" s="89">
        <v>0.05</v>
      </c>
      <c r="F18" s="88">
        <f t="shared" si="1"/>
        <v>5880</v>
      </c>
      <c r="G18" s="23" t="s">
        <v>21</v>
      </c>
      <c r="H18" s="90">
        <v>2</v>
      </c>
      <c r="I18" s="91">
        <f t="shared" si="0"/>
        <v>11760</v>
      </c>
      <c r="J18" s="64" t="s">
        <v>37</v>
      </c>
      <c r="N18" s="95">
        <f>SUM(L9:M10)+SUM(L14:M14)</f>
        <v>5600</v>
      </c>
    </row>
    <row r="19" spans="1:14" s="95" customFormat="1" x14ac:dyDescent="0.2">
      <c r="A19" s="56">
        <v>10</v>
      </c>
      <c r="B19" s="102" t="s">
        <v>93</v>
      </c>
      <c r="C19" s="98" t="s">
        <v>88</v>
      </c>
      <c r="D19" s="99">
        <v>150</v>
      </c>
      <c r="E19" s="100">
        <v>0.1</v>
      </c>
      <c r="F19" s="101">
        <f t="shared" si="1"/>
        <v>165</v>
      </c>
      <c r="G19" s="102" t="s">
        <v>21</v>
      </c>
      <c r="H19" s="103">
        <v>2.2000000000000002</v>
      </c>
      <c r="I19" s="104">
        <f t="shared" si="0"/>
        <v>363.00000000000006</v>
      </c>
      <c r="J19" s="64" t="s">
        <v>18</v>
      </c>
      <c r="K19" s="23"/>
      <c r="L19" s="64"/>
      <c r="N19" s="95">
        <v>150</v>
      </c>
    </row>
    <row r="20" spans="1:14" ht="16.5" thickBot="1" x14ac:dyDescent="0.25">
      <c r="C20" s="43"/>
      <c r="D20" s="96"/>
      <c r="E20" s="96"/>
      <c r="F20" s="96"/>
      <c r="H20" s="90"/>
      <c r="I20" s="105"/>
    </row>
    <row r="21" spans="1:14" ht="16.5" thickBot="1" x14ac:dyDescent="0.25">
      <c r="A21" s="55" t="s">
        <v>67</v>
      </c>
      <c r="B21" s="120"/>
      <c r="C21" s="106"/>
      <c r="D21" s="107"/>
      <c r="E21" s="107"/>
      <c r="F21" s="107"/>
      <c r="G21" s="108"/>
      <c r="H21" s="109"/>
      <c r="I21" s="110">
        <f>SUM(I9:I19)</f>
        <v>167605.25000000003</v>
      </c>
    </row>
    <row r="22" spans="1:14" ht="16.5" thickBot="1" x14ac:dyDescent="0.25">
      <c r="A22" s="55" t="s">
        <v>73</v>
      </c>
      <c r="B22" s="120"/>
      <c r="C22" s="106"/>
      <c r="D22" s="107"/>
      <c r="E22" s="107"/>
      <c r="F22" s="107"/>
      <c r="G22" s="108"/>
      <c r="H22" s="109"/>
      <c r="I22" s="111">
        <f>(3/100)*I21</f>
        <v>5028.1575000000003</v>
      </c>
    </row>
    <row r="23" spans="1:14" ht="16.5" thickBot="1" x14ac:dyDescent="0.25">
      <c r="A23" s="55" t="s">
        <v>68</v>
      </c>
      <c r="B23" s="120"/>
      <c r="C23" s="106"/>
      <c r="D23" s="107"/>
      <c r="E23" s="107"/>
      <c r="F23" s="107"/>
      <c r="G23" s="108"/>
      <c r="H23" s="109"/>
      <c r="I23" s="110">
        <f>SUM(I21:I22)</f>
        <v>172633.40750000003</v>
      </c>
    </row>
    <row r="24" spans="1:14" x14ac:dyDescent="0.2">
      <c r="A24" s="57"/>
      <c r="B24" s="57"/>
      <c r="C24" s="64"/>
      <c r="D24" s="112"/>
      <c r="E24" s="112"/>
      <c r="F24" s="112"/>
      <c r="H24" s="113"/>
      <c r="I24" s="114"/>
    </row>
    <row r="25" spans="1:14" x14ac:dyDescent="0.2">
      <c r="C25" s="115" t="s">
        <v>61</v>
      </c>
    </row>
    <row r="26" spans="1:14" x14ac:dyDescent="0.2">
      <c r="B26" s="23">
        <v>1</v>
      </c>
      <c r="C26" s="67" t="s">
        <v>62</v>
      </c>
      <c r="J26" s="116"/>
    </row>
    <row r="27" spans="1:14" x14ac:dyDescent="0.2">
      <c r="B27" s="23">
        <v>2</v>
      </c>
      <c r="C27" s="67" t="s">
        <v>63</v>
      </c>
    </row>
    <row r="28" spans="1:14" x14ac:dyDescent="0.2">
      <c r="B28" s="23">
        <v>3</v>
      </c>
      <c r="C28" s="67" t="s">
        <v>64</v>
      </c>
    </row>
    <row r="29" spans="1:14" x14ac:dyDescent="0.2">
      <c r="B29" s="23">
        <v>4</v>
      </c>
      <c r="C29" s="45" t="s">
        <v>65</v>
      </c>
    </row>
    <row r="30" spans="1:14" x14ac:dyDescent="0.2">
      <c r="B30" s="23">
        <v>5</v>
      </c>
      <c r="C30" s="45" t="s">
        <v>66</v>
      </c>
    </row>
    <row r="31" spans="1:14" ht="31.5" x14ac:dyDescent="0.2">
      <c r="B31" s="23">
        <v>6</v>
      </c>
      <c r="C31" s="45" t="s">
        <v>81</v>
      </c>
    </row>
    <row r="32" spans="1:14" x14ac:dyDescent="0.2">
      <c r="C32" s="117"/>
    </row>
    <row r="33" spans="3:3" x14ac:dyDescent="0.2">
      <c r="C33" s="117"/>
    </row>
  </sheetData>
  <mergeCells count="1">
    <mergeCell ref="L7:M7"/>
  </mergeCells>
  <printOptions horizontalCentered="1"/>
  <pageMargins left="0.7" right="0.7" top="0.5" bottom="0.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view="pageBreakPreview" zoomScale="85" zoomScaleNormal="85" zoomScaleSheetLayoutView="85" workbookViewId="0">
      <pane ySplit="7" topLeftCell="A14" activePane="bottomLeft" state="frozen"/>
      <selection pane="bottomLeft" activeCell="H19" sqref="H19:J28"/>
    </sheetView>
  </sheetViews>
  <sheetFormatPr defaultColWidth="9.6640625" defaultRowHeight="15.75" x14ac:dyDescent="0.2"/>
  <cols>
    <col min="1" max="1" width="10" style="23" customWidth="1"/>
    <col min="2" max="2" width="27.88671875" style="8" customWidth="1"/>
    <col min="3" max="3" width="10.5546875" style="8" customWidth="1"/>
    <col min="4" max="4" width="8.109375" style="20" customWidth="1"/>
    <col min="5" max="5" width="6.5546875" style="6" customWidth="1"/>
    <col min="6" max="6" width="11.109375" style="7" customWidth="1"/>
    <col min="7" max="7" width="34.109375" style="5" customWidth="1"/>
    <col min="8" max="8" width="12" style="5" customWidth="1"/>
    <col min="9" max="10" width="9.6640625" style="5"/>
    <col min="11" max="11" width="10.6640625" style="5" customWidth="1"/>
    <col min="12" max="12" width="11.77734375" style="5" customWidth="1"/>
    <col min="13" max="13" width="10.6640625" style="5" customWidth="1"/>
    <col min="14" max="16384" width="9.6640625" style="5"/>
  </cols>
  <sheetData>
    <row r="1" spans="1:9" x14ac:dyDescent="0.2">
      <c r="B1" s="1"/>
      <c r="C1" s="2"/>
      <c r="D1" s="3"/>
      <c r="E1" s="3"/>
      <c r="F1" s="4"/>
    </row>
    <row r="2" spans="1:9" x14ac:dyDescent="0.2">
      <c r="B2" s="17" t="s">
        <v>6</v>
      </c>
      <c r="C2" s="1" t="s">
        <v>10</v>
      </c>
      <c r="D2" s="3"/>
      <c r="E2" s="3"/>
      <c r="F2" s="4"/>
    </row>
    <row r="3" spans="1:9" x14ac:dyDescent="0.2">
      <c r="B3" s="17" t="s">
        <v>7</v>
      </c>
      <c r="C3" s="1" t="s">
        <v>11</v>
      </c>
      <c r="D3" s="3"/>
      <c r="E3" s="3"/>
      <c r="F3" s="4"/>
    </row>
    <row r="4" spans="1:9" x14ac:dyDescent="0.2">
      <c r="B4" s="5"/>
      <c r="C4" s="1" t="s">
        <v>12</v>
      </c>
      <c r="D4" s="3"/>
      <c r="E4" s="3"/>
      <c r="F4" s="4"/>
    </row>
    <row r="5" spans="1:9" x14ac:dyDescent="0.2">
      <c r="B5" s="3"/>
      <c r="C5" s="1"/>
      <c r="D5" s="3"/>
    </row>
    <row r="6" spans="1:9" x14ac:dyDescent="0.2">
      <c r="E6" s="9" t="s">
        <v>1</v>
      </c>
      <c r="F6" s="10">
        <f ca="1">TODAY()</f>
        <v>45121</v>
      </c>
    </row>
    <row r="7" spans="1:9" s="11" customFormat="1" x14ac:dyDescent="0.2">
      <c r="A7" s="24" t="s">
        <v>5</v>
      </c>
      <c r="B7" s="25" t="s">
        <v>2</v>
      </c>
      <c r="C7" s="25" t="s">
        <v>3</v>
      </c>
      <c r="D7" s="25" t="s">
        <v>8</v>
      </c>
      <c r="E7" s="26" t="s">
        <v>0</v>
      </c>
      <c r="F7" s="27" t="s">
        <v>4</v>
      </c>
    </row>
    <row r="8" spans="1:9" x14ac:dyDescent="0.2">
      <c r="A8" s="35"/>
      <c r="B8" s="39" t="s">
        <v>39</v>
      </c>
      <c r="C8" s="14"/>
      <c r="D8" s="21"/>
      <c r="E8" s="15"/>
      <c r="F8" s="16"/>
      <c r="H8" s="30"/>
    </row>
    <row r="9" spans="1:9" ht="31.5" x14ac:dyDescent="0.2">
      <c r="A9" s="28">
        <v>1</v>
      </c>
      <c r="B9" s="49" t="s">
        <v>51</v>
      </c>
      <c r="C9" s="38"/>
      <c r="D9" s="40">
        <f>((2358+277+2077)-644)+3830</f>
        <v>7898</v>
      </c>
      <c r="E9" s="6" t="s">
        <v>21</v>
      </c>
      <c r="F9" s="18">
        <f>C9*D9</f>
        <v>0</v>
      </c>
      <c r="G9" s="5" t="s">
        <v>52</v>
      </c>
    </row>
    <row r="10" spans="1:9" ht="31.5" x14ac:dyDescent="0.2">
      <c r="A10" s="28">
        <v>2</v>
      </c>
      <c r="B10" s="31" t="s">
        <v>54</v>
      </c>
      <c r="C10" s="38"/>
      <c r="D10" s="40">
        <f>644+292</f>
        <v>936</v>
      </c>
      <c r="E10" s="6" t="s">
        <v>21</v>
      </c>
      <c r="F10" s="18">
        <f t="shared" ref="F10:F18" si="0">C10*D10</f>
        <v>0</v>
      </c>
      <c r="G10" s="5" t="s">
        <v>53</v>
      </c>
      <c r="I10" s="5" t="s">
        <v>59</v>
      </c>
    </row>
    <row r="11" spans="1:9" ht="31.5" x14ac:dyDescent="0.2">
      <c r="A11" s="28">
        <v>3</v>
      </c>
      <c r="B11" s="31" t="s">
        <v>29</v>
      </c>
      <c r="C11" s="19"/>
      <c r="D11" s="40">
        <f>206-78</f>
        <v>128</v>
      </c>
      <c r="E11" s="6" t="s">
        <v>21</v>
      </c>
      <c r="F11" s="18">
        <f t="shared" si="0"/>
        <v>0</v>
      </c>
      <c r="G11" s="5" t="s">
        <v>14</v>
      </c>
      <c r="I11" s="5" t="s">
        <v>60</v>
      </c>
    </row>
    <row r="12" spans="1:9" ht="47.25" x14ac:dyDescent="0.2">
      <c r="A12" s="28">
        <v>4</v>
      </c>
      <c r="B12" s="48" t="s">
        <v>55</v>
      </c>
      <c r="C12" s="19"/>
      <c r="D12" s="40">
        <v>78</v>
      </c>
      <c r="E12" s="6" t="s">
        <v>21</v>
      </c>
      <c r="F12" s="18">
        <f t="shared" si="0"/>
        <v>0</v>
      </c>
      <c r="G12" s="5" t="s">
        <v>14</v>
      </c>
      <c r="H12" s="34"/>
    </row>
    <row r="13" spans="1:9" s="34" customFormat="1" ht="31.5" x14ac:dyDescent="0.2">
      <c r="A13" s="28">
        <v>5</v>
      </c>
      <c r="B13" s="31" t="s">
        <v>30</v>
      </c>
      <c r="C13" s="33"/>
      <c r="D13" s="40">
        <v>148</v>
      </c>
      <c r="E13" s="6" t="s">
        <v>21</v>
      </c>
      <c r="F13" s="18">
        <f t="shared" si="0"/>
        <v>0</v>
      </c>
      <c r="G13" s="50" t="s">
        <v>18</v>
      </c>
    </row>
    <row r="14" spans="1:9" s="34" customFormat="1" ht="31.5" x14ac:dyDescent="0.2">
      <c r="A14" s="28">
        <v>6</v>
      </c>
      <c r="B14" s="31" t="s">
        <v>31</v>
      </c>
      <c r="C14" s="33"/>
      <c r="D14" s="40">
        <f>2538+206+277+1343+2077+148</f>
        <v>6589</v>
      </c>
      <c r="E14" s="6" t="s">
        <v>21</v>
      </c>
      <c r="F14" s="18">
        <f t="shared" si="0"/>
        <v>0</v>
      </c>
      <c r="G14" s="5" t="s">
        <v>32</v>
      </c>
    </row>
    <row r="15" spans="1:9" s="34" customFormat="1" x14ac:dyDescent="0.2">
      <c r="A15" s="28">
        <v>7</v>
      </c>
      <c r="B15" s="31" t="s">
        <v>33</v>
      </c>
      <c r="C15" s="33"/>
      <c r="D15" s="40">
        <v>4968</v>
      </c>
      <c r="E15" s="6" t="s">
        <v>21</v>
      </c>
      <c r="F15" s="18">
        <f t="shared" si="0"/>
        <v>0</v>
      </c>
      <c r="G15" s="5" t="s">
        <v>34</v>
      </c>
    </row>
    <row r="16" spans="1:9" s="34" customFormat="1" x14ac:dyDescent="0.2">
      <c r="A16" s="28">
        <v>8</v>
      </c>
      <c r="B16" s="31" t="s">
        <v>35</v>
      </c>
      <c r="C16" s="33"/>
      <c r="D16" s="29">
        <v>277</v>
      </c>
      <c r="E16" s="6" t="s">
        <v>21</v>
      </c>
      <c r="F16" s="18">
        <f t="shared" si="0"/>
        <v>0</v>
      </c>
      <c r="G16" s="5" t="s">
        <v>15</v>
      </c>
    </row>
    <row r="17" spans="1:11" s="34" customFormat="1" x14ac:dyDescent="0.2">
      <c r="A17" s="23">
        <v>9</v>
      </c>
      <c r="B17" s="47" t="s">
        <v>36</v>
      </c>
      <c r="C17" s="33"/>
      <c r="D17" s="29">
        <f>2538+206+2077</f>
        <v>4821</v>
      </c>
      <c r="E17" s="6" t="s">
        <v>21</v>
      </c>
      <c r="F17" s="18">
        <f t="shared" si="0"/>
        <v>0</v>
      </c>
      <c r="G17" s="5" t="s">
        <v>37</v>
      </c>
    </row>
    <row r="18" spans="1:11" s="34" customFormat="1" x14ac:dyDescent="0.2">
      <c r="A18" s="23">
        <v>10</v>
      </c>
      <c r="B18" s="47" t="s">
        <v>38</v>
      </c>
      <c r="C18" s="33"/>
      <c r="D18" s="29">
        <v>148</v>
      </c>
      <c r="E18" s="6" t="s">
        <v>21</v>
      </c>
      <c r="F18" s="18">
        <f t="shared" si="0"/>
        <v>0</v>
      </c>
      <c r="G18" s="5" t="s">
        <v>18</v>
      </c>
      <c r="H18" s="54" t="s">
        <v>42</v>
      </c>
    </row>
    <row r="19" spans="1:11" ht="16.5" thickBot="1" x14ac:dyDescent="0.25">
      <c r="B19" s="31"/>
      <c r="C19" s="19"/>
      <c r="D19" s="29"/>
      <c r="F19" s="18"/>
      <c r="H19" s="6" t="s">
        <v>13</v>
      </c>
      <c r="I19" s="30">
        <v>2538</v>
      </c>
      <c r="J19" s="5">
        <v>2520</v>
      </c>
    </row>
    <row r="20" spans="1:11" ht="16.5" thickBot="1" x14ac:dyDescent="0.25">
      <c r="A20" s="36" t="s">
        <v>9</v>
      </c>
      <c r="B20" s="13"/>
      <c r="C20" s="12"/>
      <c r="D20" s="22"/>
      <c r="E20" s="32"/>
      <c r="F20" s="37">
        <f>SUM(F9:F18)</f>
        <v>0</v>
      </c>
      <c r="H20" s="6" t="s">
        <v>14</v>
      </c>
      <c r="I20" s="30">
        <v>205</v>
      </c>
      <c r="J20" s="5">
        <v>206</v>
      </c>
    </row>
    <row r="21" spans="1:11" x14ac:dyDescent="0.2">
      <c r="B21" s="41" t="s">
        <v>61</v>
      </c>
      <c r="H21" s="6" t="s">
        <v>41</v>
      </c>
      <c r="I21" s="30" t="s">
        <v>43</v>
      </c>
    </row>
    <row r="22" spans="1:11" x14ac:dyDescent="0.2">
      <c r="A22" s="23">
        <v>1</v>
      </c>
      <c r="B22" s="8" t="s">
        <v>62</v>
      </c>
      <c r="G22" s="46"/>
      <c r="H22" s="6" t="s">
        <v>15</v>
      </c>
      <c r="I22" s="30">
        <v>277</v>
      </c>
      <c r="J22" s="5">
        <v>290</v>
      </c>
    </row>
    <row r="23" spans="1:11" x14ac:dyDescent="0.2">
      <c r="A23" s="23">
        <v>2</v>
      </c>
      <c r="B23" s="8" t="s">
        <v>63</v>
      </c>
      <c r="H23" s="6" t="s">
        <v>16</v>
      </c>
      <c r="I23" s="30">
        <v>1342</v>
      </c>
      <c r="J23" s="5">
        <v>1200</v>
      </c>
    </row>
    <row r="24" spans="1:11" x14ac:dyDescent="0.2">
      <c r="A24" s="23">
        <v>3</v>
      </c>
      <c r="B24" s="8" t="s">
        <v>64</v>
      </c>
      <c r="H24" s="6" t="s">
        <v>17</v>
      </c>
      <c r="I24" s="30">
        <v>2077</v>
      </c>
      <c r="J24" s="5">
        <v>2670</v>
      </c>
    </row>
    <row r="25" spans="1:11" x14ac:dyDescent="0.2">
      <c r="A25" s="23">
        <v>4</v>
      </c>
      <c r="B25" s="42" t="s">
        <v>65</v>
      </c>
      <c r="H25" s="6" t="s">
        <v>18</v>
      </c>
      <c r="I25" s="30">
        <v>148</v>
      </c>
      <c r="J25" s="5">
        <v>150</v>
      </c>
    </row>
    <row r="26" spans="1:11" x14ac:dyDescent="0.2">
      <c r="A26" s="23">
        <v>5</v>
      </c>
      <c r="B26" s="42" t="s">
        <v>66</v>
      </c>
      <c r="H26" s="6" t="s">
        <v>19</v>
      </c>
      <c r="I26" s="30">
        <v>22</v>
      </c>
      <c r="J26" s="5">
        <v>20</v>
      </c>
      <c r="K26" s="5" t="s">
        <v>45</v>
      </c>
    </row>
    <row r="27" spans="1:11" x14ac:dyDescent="0.2">
      <c r="A27" s="23">
        <v>6</v>
      </c>
      <c r="B27" s="51"/>
      <c r="H27" s="6" t="s">
        <v>20</v>
      </c>
      <c r="I27" s="30">
        <v>3830</v>
      </c>
    </row>
    <row r="28" spans="1:11" x14ac:dyDescent="0.2">
      <c r="B28" s="51"/>
      <c r="H28" s="6" t="s">
        <v>58</v>
      </c>
      <c r="I28" s="30">
        <v>292</v>
      </c>
    </row>
    <row r="29" spans="1:11" x14ac:dyDescent="0.2">
      <c r="B29" s="51"/>
      <c r="H29" s="6"/>
      <c r="I29" s="30"/>
    </row>
    <row r="30" spans="1:11" x14ac:dyDescent="0.2">
      <c r="B30" s="51"/>
      <c r="H30" s="6"/>
      <c r="I30" s="30"/>
    </row>
    <row r="31" spans="1:11" x14ac:dyDescent="0.2">
      <c r="B31" s="51" t="s">
        <v>22</v>
      </c>
      <c r="H31" s="6"/>
      <c r="I31" s="30"/>
    </row>
    <row r="32" spans="1:11" ht="18" customHeight="1" x14ac:dyDescent="0.2">
      <c r="B32" s="41" t="s">
        <v>23</v>
      </c>
      <c r="G32" s="44" t="s">
        <v>24</v>
      </c>
      <c r="H32" s="5" t="s">
        <v>44</v>
      </c>
    </row>
    <row r="33" spans="2:7" ht="173.25" x14ac:dyDescent="0.2">
      <c r="B33" s="8" t="s">
        <v>46</v>
      </c>
      <c r="G33" s="43" t="s">
        <v>47</v>
      </c>
    </row>
    <row r="35" spans="2:7" x14ac:dyDescent="0.2">
      <c r="B35" s="53" t="s">
        <v>25</v>
      </c>
      <c r="G35" s="46" t="s">
        <v>26</v>
      </c>
    </row>
    <row r="36" spans="2:7" ht="189" x14ac:dyDescent="0.2">
      <c r="B36" s="52" t="s">
        <v>56</v>
      </c>
      <c r="G36" s="45" t="s">
        <v>48</v>
      </c>
    </row>
    <row r="38" spans="2:7" x14ac:dyDescent="0.2">
      <c r="B38" s="41" t="s">
        <v>27</v>
      </c>
      <c r="G38" s="46" t="s">
        <v>28</v>
      </c>
    </row>
    <row r="39" spans="2:7" ht="94.5" x14ac:dyDescent="0.2">
      <c r="B39" s="8" t="s">
        <v>50</v>
      </c>
      <c r="G39" s="42" t="s">
        <v>49</v>
      </c>
    </row>
    <row r="40" spans="2:7" ht="31.5" x14ac:dyDescent="0.2">
      <c r="B40" s="41" t="s">
        <v>40</v>
      </c>
    </row>
    <row r="41" spans="2:7" ht="141.75" x14ac:dyDescent="0.2">
      <c r="B41" s="8" t="s">
        <v>57</v>
      </c>
    </row>
  </sheetData>
  <printOptions horizontalCentered="1"/>
  <pageMargins left="0.7" right="0.7" top="0.5" bottom="0.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DETAIL</vt:lpstr>
      <vt:lpstr>UJ</vt:lpstr>
      <vt:lpstr>DETAIL (2)</vt:lpstr>
      <vt:lpstr>DETAIL!Print_Area</vt:lpstr>
      <vt:lpstr>'DETAIL (2)'!Print_Area</vt:lpstr>
      <vt:lpstr>UJ!Print_Area</vt:lpstr>
      <vt:lpstr>DETAIL!Print_Titles</vt:lpstr>
      <vt:lpstr>'DETAIL (2)'!Print_Titles</vt:lpstr>
      <vt:lpstr>UJ!Print_Titles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2023-07-14T10:29:55Z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