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codeName="ThisWorkbook" defaultThemeVersion="124226"/>
  <xr:revisionPtr revIDLastSave="0" documentId="13_ncr:1_{74286ABF-46B2-4717-8126-391EDB56DA4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TAIL" sheetId="11" r:id="rId1"/>
    <sheet name="UJ" sheetId="13" state="hidden" r:id="rId2"/>
    <sheet name="DETAIL (2)" sheetId="12" state="hidden" r:id="rId3"/>
  </sheets>
  <definedNames>
    <definedName name="_xlnm.Print_Area" localSheetId="0">DETAIL!$A$1:$I$129</definedName>
    <definedName name="_xlnm.Print_Area" localSheetId="2">'DETAIL (2)'!$A$1:$F$20</definedName>
    <definedName name="_xlnm.Print_Area" localSheetId="1">UJ!$A$1:$I$31</definedName>
    <definedName name="_xlnm.Print_Titles" localSheetId="0">DETAIL!$1:$6</definedName>
    <definedName name="_xlnm.Print_Titles" localSheetId="2">'DETAIL (2)'!$1:$7</definedName>
    <definedName name="_xlnm.Print_Titles" localSheetId="1">UJ!$1:$7</definedName>
  </definedNames>
  <calcPr calcId="191029"/>
</workbook>
</file>

<file path=xl/calcChain.xml><?xml version="1.0" encoding="utf-8"?>
<calcChain xmlns="http://schemas.openxmlformats.org/spreadsheetml/2006/main">
  <c r="E100" i="11" l="1"/>
  <c r="H100" i="11" s="1"/>
  <c r="H88" i="11"/>
  <c r="A87" i="11"/>
  <c r="A89" i="11"/>
  <c r="A91" i="11"/>
  <c r="E88" i="11"/>
  <c r="E119" i="11"/>
  <c r="H119" i="11" s="1"/>
  <c r="A101" i="11"/>
  <c r="E118" i="11"/>
  <c r="H118" i="11" s="1"/>
  <c r="E117" i="11"/>
  <c r="H117" i="11" s="1"/>
  <c r="E116" i="11"/>
  <c r="H116" i="11" s="1"/>
  <c r="E115" i="11"/>
  <c r="H115" i="11" s="1"/>
  <c r="E114" i="11"/>
  <c r="H114" i="11" s="1"/>
  <c r="E113" i="11"/>
  <c r="H113" i="11" s="1"/>
  <c r="E112" i="11"/>
  <c r="H112" i="11" s="1"/>
  <c r="E111" i="11"/>
  <c r="H111" i="11" s="1"/>
  <c r="E110" i="11"/>
  <c r="H110" i="11" s="1"/>
  <c r="E109" i="11"/>
  <c r="H109" i="11" s="1"/>
  <c r="E108" i="11"/>
  <c r="H108" i="11" s="1"/>
  <c r="E107" i="11"/>
  <c r="H107" i="11" s="1"/>
  <c r="E106" i="11"/>
  <c r="H106" i="11" s="1"/>
  <c r="E105" i="11"/>
  <c r="H105" i="11" s="1"/>
  <c r="E104" i="11"/>
  <c r="H104" i="11" s="1"/>
  <c r="E103" i="11"/>
  <c r="H103" i="11" s="1"/>
  <c r="E102" i="11"/>
  <c r="H102" i="11" s="1"/>
  <c r="E99" i="11"/>
  <c r="H99" i="11" s="1"/>
  <c r="E98" i="11"/>
  <c r="H98" i="11" s="1"/>
  <c r="E55" i="11"/>
  <c r="H55" i="11" s="1"/>
  <c r="A45" i="11"/>
  <c r="E44" i="11"/>
  <c r="H44" i="11" s="1"/>
  <c r="E53" i="11"/>
  <c r="H53" i="11" s="1"/>
  <c r="E54" i="11"/>
  <c r="H54" i="11" s="1"/>
  <c r="C34" i="11"/>
  <c r="E34" i="11" s="1"/>
  <c r="H34" i="11" s="1"/>
  <c r="C32" i="11"/>
  <c r="E43" i="11"/>
  <c r="H43" i="11" s="1"/>
  <c r="E42" i="11"/>
  <c r="H42" i="11" s="1"/>
  <c r="E41" i="11"/>
  <c r="H41" i="11" s="1"/>
  <c r="E40" i="11"/>
  <c r="H40" i="11" s="1"/>
  <c r="E39" i="11"/>
  <c r="H39" i="11" s="1"/>
  <c r="E38" i="11"/>
  <c r="H38" i="11" s="1"/>
  <c r="E37" i="11"/>
  <c r="H37" i="11" s="1"/>
  <c r="E36" i="11"/>
  <c r="H36" i="11" s="1"/>
  <c r="E35" i="11"/>
  <c r="H35" i="11" s="1"/>
  <c r="C16" i="11"/>
  <c r="A22" i="11"/>
  <c r="E52" i="11"/>
  <c r="H52" i="11" s="1"/>
  <c r="E23" i="11"/>
  <c r="H23" i="11" s="1"/>
  <c r="C83" i="11"/>
  <c r="C77" i="11"/>
  <c r="C76" i="11"/>
  <c r="C74" i="11"/>
  <c r="C92" i="11" s="1"/>
  <c r="E92" i="11" s="1"/>
  <c r="H92" i="11" s="1"/>
  <c r="E80" i="11"/>
  <c r="H80" i="11" s="1"/>
  <c r="G69" i="11"/>
  <c r="E70" i="11"/>
  <c r="H70" i="11" s="1"/>
  <c r="E69" i="11"/>
  <c r="H69" i="11" s="1"/>
  <c r="E68" i="11"/>
  <c r="H68" i="11" s="1"/>
  <c r="E67" i="11"/>
  <c r="H67" i="11" s="1"/>
  <c r="E9" i="11"/>
  <c r="H9" i="11" s="1"/>
  <c r="E97" i="11"/>
  <c r="H97" i="11" s="1"/>
  <c r="E96" i="11"/>
  <c r="H96" i="11" s="1"/>
  <c r="I95" i="11" s="1"/>
  <c r="A95" i="11"/>
  <c r="E93" i="11"/>
  <c r="H93" i="11" s="1"/>
  <c r="E94" i="11"/>
  <c r="H94" i="11" s="1"/>
  <c r="A84" i="11"/>
  <c r="I101" i="11" l="1"/>
  <c r="A65" i="11"/>
  <c r="E66" i="11"/>
  <c r="H66" i="11" s="1"/>
  <c r="A48" i="11"/>
  <c r="E51" i="11"/>
  <c r="H51" i="11" s="1"/>
  <c r="E50" i="11"/>
  <c r="H50" i="11" s="1"/>
  <c r="E49" i="11"/>
  <c r="H49" i="11" s="1"/>
  <c r="E33" i="11"/>
  <c r="H33" i="11" s="1"/>
  <c r="E32" i="11"/>
  <c r="H32" i="11" s="1"/>
  <c r="E31" i="11"/>
  <c r="H31" i="11" s="1"/>
  <c r="E30" i="11"/>
  <c r="H30" i="11" s="1"/>
  <c r="E29" i="11"/>
  <c r="H29" i="11" s="1"/>
  <c r="E47" i="11"/>
  <c r="H47" i="11" s="1"/>
  <c r="E46" i="11"/>
  <c r="H46" i="11" s="1"/>
  <c r="E28" i="11"/>
  <c r="H28" i="11" s="1"/>
  <c r="E27" i="11"/>
  <c r="H27" i="11" s="1"/>
  <c r="E26" i="11"/>
  <c r="H26" i="11" s="1"/>
  <c r="E25" i="11"/>
  <c r="H25" i="11" s="1"/>
  <c r="E24" i="11"/>
  <c r="H24" i="11" s="1"/>
  <c r="A19" i="11"/>
  <c r="E21" i="11"/>
  <c r="H21" i="11" s="1"/>
  <c r="E20" i="11"/>
  <c r="H20" i="11" s="1"/>
  <c r="E17" i="11"/>
  <c r="H17" i="11" s="1"/>
  <c r="A78" i="11"/>
  <c r="E75" i="11"/>
  <c r="H75" i="11" s="1"/>
  <c r="E77" i="11"/>
  <c r="H77" i="11" s="1"/>
  <c r="E64" i="11"/>
  <c r="H64" i="11" s="1"/>
  <c r="E63" i="11"/>
  <c r="H63" i="11" s="1"/>
  <c r="E62" i="11"/>
  <c r="H62" i="11" s="1"/>
  <c r="E61" i="11"/>
  <c r="H61" i="11" s="1"/>
  <c r="E60" i="11"/>
  <c r="H60" i="11" s="1"/>
  <c r="E59" i="11"/>
  <c r="H59" i="11" s="1"/>
  <c r="E18" i="11"/>
  <c r="H18" i="11" s="1"/>
  <c r="E16" i="11"/>
  <c r="H16" i="11" s="1"/>
  <c r="E90" i="11"/>
  <c r="H90" i="11" s="1"/>
  <c r="E86" i="11"/>
  <c r="H86" i="11" s="1"/>
  <c r="E85" i="11"/>
  <c r="H85" i="11" s="1"/>
  <c r="E81" i="11"/>
  <c r="H81" i="11" s="1"/>
  <c r="E79" i="11"/>
  <c r="H79" i="11" s="1"/>
  <c r="E76" i="11"/>
  <c r="H76" i="11" s="1"/>
  <c r="E83" i="11"/>
  <c r="H83" i="11" s="1"/>
  <c r="E82" i="11"/>
  <c r="H82" i="11" s="1"/>
  <c r="E11" i="11"/>
  <c r="H11" i="11" s="1"/>
  <c r="A14" i="11"/>
  <c r="E13" i="11"/>
  <c r="H13" i="11" s="1"/>
  <c r="E12" i="11"/>
  <c r="H12" i="11" s="1"/>
  <c r="E15" i="11"/>
  <c r="H15" i="11" s="1"/>
  <c r="I48" i="11" l="1"/>
  <c r="I22" i="11"/>
  <c r="I14" i="11"/>
  <c r="I19" i="11"/>
  <c r="E74" i="11"/>
  <c r="H74" i="11" s="1"/>
  <c r="I71" i="11" s="1"/>
  <c r="A7" i="11" l="1"/>
  <c r="E10" i="11"/>
  <c r="H10" i="11" s="1"/>
  <c r="E8" i="11"/>
  <c r="H8" i="11" s="1"/>
  <c r="A56" i="11"/>
  <c r="A57" i="11"/>
  <c r="I7" i="11" l="1"/>
  <c r="E58" i="11"/>
  <c r="H58" i="11" s="1"/>
  <c r="I56" i="11" s="1"/>
  <c r="I120" i="11" l="1"/>
  <c r="H120" i="11"/>
  <c r="H122" i="11"/>
  <c r="H123" i="11" s="1"/>
  <c r="I122" i="11" l="1"/>
  <c r="I123" i="11" s="1"/>
  <c r="F19" i="13"/>
  <c r="I19" i="13" s="1"/>
  <c r="F18" i="13"/>
  <c r="I18" i="13" s="1"/>
  <c r="N17" i="13"/>
  <c r="F17" i="13"/>
  <c r="I17" i="13" s="1"/>
  <c r="F16" i="13"/>
  <c r="I16" i="13" s="1"/>
  <c r="F15" i="13"/>
  <c r="I15" i="13" s="1"/>
  <c r="L14" i="13"/>
  <c r="F14" i="13"/>
  <c r="I14" i="13" s="1"/>
  <c r="N13" i="13"/>
  <c r="F13" i="13"/>
  <c r="I13" i="13" s="1"/>
  <c r="N12" i="13"/>
  <c r="F12" i="13"/>
  <c r="I12" i="13" s="1"/>
  <c r="N11" i="13"/>
  <c r="F11" i="13"/>
  <c r="I11" i="13" s="1"/>
  <c r="N10" i="13"/>
  <c r="L10" i="13"/>
  <c r="F10" i="13"/>
  <c r="I10" i="13" s="1"/>
  <c r="N9" i="13"/>
  <c r="L9" i="13"/>
  <c r="F9" i="13"/>
  <c r="I9" i="13" s="1"/>
  <c r="I6" i="13"/>
  <c r="N18" i="13" l="1"/>
  <c r="N14" i="13"/>
  <c r="I21" i="13"/>
  <c r="I22" i="13" s="1"/>
  <c r="I23" i="13" s="1"/>
  <c r="O14" i="13"/>
  <c r="P14" i="13" s="1"/>
  <c r="N15" i="13"/>
  <c r="F18" i="12"/>
  <c r="D17" i="12"/>
  <c r="F17" i="12" s="1"/>
  <c r="F16" i="12"/>
  <c r="F15" i="12"/>
  <c r="D14" i="12"/>
  <c r="F14" i="12" s="1"/>
  <c r="F13" i="12"/>
  <c r="F12" i="12"/>
  <c r="D11" i="12"/>
  <c r="F11" i="12" s="1"/>
  <c r="D10" i="12"/>
  <c r="F10" i="12" s="1"/>
  <c r="D9" i="12"/>
  <c r="F9" i="12" s="1"/>
  <c r="F6" i="12"/>
  <c r="F20" i="12" l="1"/>
  <c r="A8" i="11" l="1"/>
  <c r="A9" i="11" l="1"/>
  <c r="A10" i="11" l="1"/>
  <c r="A11" i="11" l="1"/>
  <c r="A12" i="11" l="1"/>
  <c r="A13" i="11" s="1"/>
  <c r="A15" i="11" s="1"/>
  <c r="A16" i="11"/>
  <c r="A17" i="11" l="1"/>
  <c r="A18" i="11" l="1"/>
  <c r="A20" i="11" l="1"/>
  <c r="A21" i="11" l="1"/>
  <c r="A23" i="11" l="1"/>
  <c r="A24" i="11" s="1"/>
  <c r="A25" i="11" s="1"/>
  <c r="A26" i="11" s="1"/>
  <c r="A27" i="11" s="1"/>
  <c r="A28" i="11" s="1"/>
  <c r="A29" i="11" s="1"/>
  <c r="A30" i="11" s="1"/>
  <c r="A31" i="11" s="1"/>
  <c r="A32" i="11" l="1"/>
  <c r="A33" i="11" s="1"/>
  <c r="A34" i="11" s="1"/>
  <c r="A35" i="11" s="1"/>
  <c r="A36" i="11" s="1"/>
  <c r="A37" i="11" s="1"/>
  <c r="A38" i="11" l="1"/>
  <c r="A39" i="11" s="1"/>
  <c r="A40" i="11" s="1"/>
  <c r="A41" i="11" l="1"/>
  <c r="A42" i="11"/>
  <c r="A43" i="11" s="1"/>
  <c r="A44" i="11" s="1"/>
  <c r="A46" i="11" s="1"/>
  <c r="A47" i="11" l="1"/>
  <c r="A49" i="11" s="1"/>
  <c r="A50" i="11" s="1"/>
  <c r="A51" i="11" s="1"/>
  <c r="A52" i="11" l="1"/>
  <c r="A53" i="11" s="1"/>
  <c r="A54" i="11" s="1"/>
  <c r="A55" i="11" s="1"/>
  <c r="A58" i="11" l="1"/>
  <c r="A59" i="11" s="1"/>
  <c r="A60" i="11" s="1"/>
  <c r="A61" i="11" s="1"/>
  <c r="A62" i="11" s="1"/>
  <c r="A63" i="11" l="1"/>
  <c r="A64" i="11" l="1"/>
  <c r="A66" i="11" s="1"/>
  <c r="A67" i="11" s="1"/>
  <c r="A68" i="11" s="1"/>
  <c r="A69" i="11" s="1"/>
  <c r="A70" i="11" s="1"/>
  <c r="A74" i="11" s="1"/>
  <c r="A75" i="11" s="1"/>
  <c r="A76" i="11" s="1"/>
  <c r="A77" i="11" s="1"/>
  <c r="A79" i="11" s="1"/>
  <c r="A80" i="11" s="1"/>
  <c r="A81" i="11" s="1"/>
  <c r="A82" i="11" s="1"/>
  <c r="A83" i="11" s="1"/>
  <c r="A85" i="11" s="1"/>
  <c r="A86" i="11" s="1"/>
  <c r="A88" i="11" s="1"/>
  <c r="A90" i="11" s="1"/>
  <c r="A92" i="11" s="1"/>
  <c r="A93" i="11" l="1"/>
  <c r="A94" i="11" s="1"/>
  <c r="A96" i="11" s="1"/>
  <c r="A97" i="11" s="1"/>
  <c r="A98" i="11" s="1"/>
  <c r="A99" i="11" s="1"/>
  <c r="A102" i="11" l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00" i="11"/>
  <c r="A119" i="11" l="1"/>
</calcChain>
</file>

<file path=xl/sharedStrings.xml><?xml version="1.0" encoding="utf-8"?>
<sst xmlns="http://schemas.openxmlformats.org/spreadsheetml/2006/main" count="386" uniqueCount="219">
  <si>
    <t>UNIT</t>
  </si>
  <si>
    <t>DATE</t>
  </si>
  <si>
    <t>DESCRIPTION</t>
  </si>
  <si>
    <t>UNIT COST</t>
  </si>
  <si>
    <t>TRADE COST</t>
  </si>
  <si>
    <t>ITEM #</t>
  </si>
  <si>
    <t xml:space="preserve">PROJECT: </t>
  </si>
  <si>
    <t xml:space="preserve">ADDRESS: </t>
  </si>
  <si>
    <t>QTY.</t>
  </si>
  <si>
    <t>TOTAL</t>
  </si>
  <si>
    <t>625 PARK AVE PHASE 1B</t>
  </si>
  <si>
    <t xml:space="preserve">625 PARK AVENUE </t>
  </si>
  <si>
    <t>NEW YORK, NY 10065</t>
  </si>
  <si>
    <t>Type 1</t>
  </si>
  <si>
    <t>Type 2</t>
  </si>
  <si>
    <t>Type 4</t>
  </si>
  <si>
    <t>Type 5</t>
  </si>
  <si>
    <t>Type 6</t>
  </si>
  <si>
    <t>Type 7</t>
  </si>
  <si>
    <t>Type 8</t>
  </si>
  <si>
    <t>Ceiling</t>
  </si>
  <si>
    <t>sf</t>
  </si>
  <si>
    <t>DETAILS</t>
  </si>
  <si>
    <t xml:space="preserve">Type 1- Interior Partition </t>
  </si>
  <si>
    <t>Type 2- 2HR rated Interior Partition</t>
  </si>
  <si>
    <t xml:space="preserve">TYPE 3 Interior partition at chase </t>
  </si>
  <si>
    <t xml:space="preserve">TYPE 4 Pocket door partition </t>
  </si>
  <si>
    <t>TYPE 5 Existing wall skim coat</t>
  </si>
  <si>
    <t>TYPE 6 EXISTING WALL- Furring</t>
  </si>
  <si>
    <t>2 HR rated 5/8" 2 layered USG fiberock brand panels.</t>
  </si>
  <si>
    <t>3 HR rated 5/8" 3 layered USG fiberock brand panels.</t>
  </si>
  <si>
    <t>3/32" thick gypsum veneer plaster skim coat.</t>
  </si>
  <si>
    <t>Type 1+Type 2+ Type 4+Type 5+Type 6 +Type 7</t>
  </si>
  <si>
    <t>3 5/8" steel studs 20 GA @ 16" O.C.</t>
  </si>
  <si>
    <t>Type 1+Type 2+Type 6+Type 7</t>
  </si>
  <si>
    <t xml:space="preserve">1 5/8" steel studs 20 GA @ 12" O.C. </t>
  </si>
  <si>
    <t>Batt sound Insulation.</t>
  </si>
  <si>
    <t>Type 1+Type 2+ Type 6</t>
  </si>
  <si>
    <t>Batt sound Insulation type SAFB.</t>
  </si>
  <si>
    <t>SCOPE OF WORK</t>
  </si>
  <si>
    <t xml:space="preserve">TYPE 7 Interior Partition- 3 Hr rated </t>
  </si>
  <si>
    <t>Type 3</t>
  </si>
  <si>
    <t>QTY Details</t>
  </si>
  <si>
    <t>N/A</t>
  </si>
  <si>
    <t xml:space="preserve">Type </t>
  </si>
  <si>
    <t>No details given</t>
  </si>
  <si>
    <r>
      <rPr>
        <sz val="12"/>
        <color rgb="FFC00000"/>
        <rFont val="Calibri"/>
        <family val="2"/>
        <scheme val="minor"/>
      </rPr>
      <t>2 layers 5/8' USG fiberock brand panels</t>
    </r>
    <r>
      <rPr>
        <sz val="12"/>
        <color theme="1"/>
        <rFont val="Calibri"/>
        <family val="2"/>
        <scheme val="minor"/>
      </rPr>
      <t xml:space="preserve"> (Fiberock aqua tough brand at all wet areas)</t>
    </r>
    <r>
      <rPr>
        <sz val="12"/>
        <rFont val="Calibri"/>
        <family val="2"/>
        <scheme val="minor"/>
      </rPr>
      <t xml:space="preserve"> Glue second layer, finished with</t>
    </r>
    <r>
      <rPr>
        <sz val="12"/>
        <color rgb="FF92D050"/>
        <rFont val="Calibri"/>
        <family val="2"/>
        <scheme val="minor"/>
      </rPr>
      <t xml:space="preserve"> 3-32" thick gypsum veneer plaster skim coat</t>
    </r>
    <r>
      <rPr>
        <sz val="12"/>
        <rFont val="Calibri"/>
        <family val="2"/>
        <scheme val="minor"/>
      </rPr>
      <t xml:space="preserve">. </t>
    </r>
    <r>
      <rPr>
        <b/>
        <sz val="12"/>
        <color rgb="FFFFC000"/>
        <rFont val="Calibri"/>
        <family val="2"/>
        <scheme val="minor"/>
      </rPr>
      <t>3 5/8" Stl studs 20 GA @16" O.C</t>
    </r>
    <r>
      <rPr>
        <sz val="12"/>
        <rFont val="Calibri"/>
        <family val="2"/>
        <scheme val="minor"/>
      </rPr>
      <t xml:space="preserve"> with </t>
    </r>
    <r>
      <rPr>
        <sz val="12"/>
        <color rgb="FF0070C0"/>
        <rFont val="Calibri"/>
        <family val="2"/>
        <scheme val="minor"/>
      </rPr>
      <t>Batt insulation</t>
    </r>
    <r>
      <rPr>
        <sz val="12"/>
        <rFont val="Calibri"/>
        <family val="2"/>
        <scheme val="minor"/>
      </rPr>
      <t xml:space="preserve">. 2 layers 5/8" USG fiberock brand panels(Fiberock aqua tough brand at all wet areas finished 3-32" thick gypsum veneer plaster skim coat </t>
    </r>
  </si>
  <si>
    <r>
      <t xml:space="preserve">2 layers 5/8' USG fiberock brand panels (Fiberock aqua tough brand at all wet areas) Glue second layer, finished with </t>
    </r>
    <r>
      <rPr>
        <sz val="12"/>
        <color rgb="FF92D050"/>
        <rFont val="Calibri"/>
        <family val="2"/>
        <scheme val="minor"/>
      </rPr>
      <t>3-32" thick gypsum veneer plaster skim coat</t>
    </r>
    <r>
      <rPr>
        <sz val="12"/>
        <rFont val="Calibri"/>
        <family val="2"/>
        <scheme val="minor"/>
      </rPr>
      <t xml:space="preserve">. </t>
    </r>
    <r>
      <rPr>
        <sz val="12"/>
        <color rgb="FFFFC000"/>
        <rFont val="Calibri"/>
        <family val="2"/>
        <scheme val="minor"/>
      </rPr>
      <t>3 5/8" Stl studs 20 GA @16" O.C</t>
    </r>
    <r>
      <rPr>
        <sz val="12"/>
        <rFont val="Calibri"/>
        <family val="2"/>
        <scheme val="minor"/>
      </rPr>
      <t xml:space="preserve"> with</t>
    </r>
    <r>
      <rPr>
        <sz val="12"/>
        <color rgb="FF0070C0"/>
        <rFont val="Calibri"/>
        <family val="2"/>
        <scheme val="minor"/>
      </rPr>
      <t xml:space="preserve"> Batt insulation</t>
    </r>
    <r>
      <rPr>
        <sz val="12"/>
        <rFont val="Calibri"/>
        <family val="2"/>
        <scheme val="minor"/>
      </rPr>
      <t xml:space="preserve">. 2 layers 5/8" USG fiberock brand panels(Fiberock aqua tough brand at all wet areas finished 3-32" thick gypsum veneer plaster skim coat </t>
    </r>
  </si>
  <si>
    <r>
      <rPr>
        <sz val="12"/>
        <color rgb="FFC00000"/>
        <rFont val="Calibri"/>
        <family val="2"/>
        <scheme val="minor"/>
      </rPr>
      <t xml:space="preserve">2 Layers 5/8" USG fiberock brand panels </t>
    </r>
    <r>
      <rPr>
        <sz val="12"/>
        <color theme="1"/>
        <rFont val="Calibri"/>
        <family val="2"/>
        <scheme val="minor"/>
      </rPr>
      <t>(Fiberock Aqua tough brand at all wet areas)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Glue second layer, Finished with </t>
    </r>
    <r>
      <rPr>
        <sz val="12"/>
        <color rgb="FF92D050"/>
        <rFont val="Calibri"/>
        <family val="2"/>
        <scheme val="minor"/>
      </rPr>
      <t>3/32" thick gypsum veneer plaster skim coat.</t>
    </r>
    <r>
      <rPr>
        <b/>
        <sz val="12"/>
        <rFont val="Calibri"/>
        <family val="2"/>
        <scheme val="minor"/>
      </rPr>
      <t xml:space="preserve"> 1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5/8" 20 Ga stl studs @12 O.C.  </t>
    </r>
    <r>
      <rPr>
        <sz val="12"/>
        <rFont val="Calibri"/>
        <family val="2"/>
        <scheme val="minor"/>
      </rPr>
      <t>2 layer 5/8" USG fiberock brand panels (fiberock aqua tough brand at wet areas) finished with 3/32" thick gypsum veneer plaster skim coat.</t>
    </r>
  </si>
  <si>
    <r>
      <rPr>
        <sz val="12"/>
        <color rgb="FFFFC000"/>
        <rFont val="Calibri"/>
        <family val="2"/>
        <scheme val="minor"/>
      </rPr>
      <t xml:space="preserve">3 5/8" </t>
    </r>
    <r>
      <rPr>
        <b/>
        <sz val="12"/>
        <color rgb="FFFFC000"/>
        <rFont val="Calibri"/>
        <family val="2"/>
        <scheme val="minor"/>
      </rPr>
      <t>20 Ga stl studs @ 16 O.C</t>
    </r>
    <r>
      <rPr>
        <b/>
        <sz val="12"/>
        <rFont val="Calibri"/>
        <family val="2"/>
        <scheme val="minor"/>
      </rPr>
      <t>.</t>
    </r>
    <r>
      <rPr>
        <b/>
        <sz val="12"/>
        <color rgb="FFC00000"/>
        <rFont val="Calibri"/>
        <family val="2"/>
        <scheme val="minor"/>
      </rPr>
      <t xml:space="preserve"> </t>
    </r>
    <r>
      <rPr>
        <sz val="12"/>
        <color rgb="FFC00000"/>
        <rFont val="Calibri"/>
        <family val="2"/>
        <scheme val="minor"/>
      </rPr>
      <t>2 layers  5/8" USG fiberock brand panels</t>
    </r>
    <r>
      <rPr>
        <sz val="12"/>
        <rFont val="Calibri"/>
        <family val="2"/>
        <scheme val="minor"/>
      </rPr>
      <t xml:space="preserve"> dimensions from exterior wall to be varified with architect. Fill with</t>
    </r>
    <r>
      <rPr>
        <sz val="12"/>
        <color rgb="FF0070C0"/>
        <rFont val="Calibri"/>
        <family val="2"/>
        <scheme val="minor"/>
      </rPr>
      <t xml:space="preserve"> Batt insulation, </t>
    </r>
    <r>
      <rPr>
        <sz val="12"/>
        <rFont val="Calibri"/>
        <family val="2"/>
        <scheme val="minor"/>
      </rPr>
      <t xml:space="preserve">Finished with </t>
    </r>
    <r>
      <rPr>
        <sz val="12"/>
        <color rgb="FF92D050"/>
        <rFont val="Calibri"/>
        <family val="2"/>
        <scheme val="minor"/>
      </rPr>
      <t>3/32" Thick Gypsum veneer plaster skim coat</t>
    </r>
  </si>
  <si>
    <r>
      <t>Apply</t>
    </r>
    <r>
      <rPr>
        <sz val="12"/>
        <color rgb="FF92D050"/>
        <rFont val="Calibri"/>
        <family val="2"/>
        <scheme val="minor"/>
      </rPr>
      <t xml:space="preserve"> 3/32" Thick gypsum veneer skim coat</t>
    </r>
    <r>
      <rPr>
        <sz val="12"/>
        <rFont val="Calibri"/>
        <family val="2"/>
        <scheme val="minor"/>
      </rPr>
      <t>. Fill and smooth all imperfections</t>
    </r>
  </si>
  <si>
    <t>5/8" 2 layered USG fiberock brand panels.</t>
  </si>
  <si>
    <t>Type 1+Type 4+Type 6+ceiling</t>
  </si>
  <si>
    <t>Type 1+Type 4+Type 6+wet ceiling</t>
  </si>
  <si>
    <t>5/8" 2 layered USG fiberock aqua tough brand panels. (Wet area).</t>
  </si>
  <si>
    <t>2 HR rated 5/8" 2 layered USG fiberock  aqua tough brand panels. (Wet area).</t>
  </si>
  <si>
    <r>
      <t xml:space="preserve">2 layer 5/8" USG fiberock brand panels ( Fiberock aqua tough brand at all wet areas ) Glue second layer fill batt insulation, finished with 3/32" thick gypsum veneer plaster skim coat.  </t>
    </r>
    <r>
      <rPr>
        <b/>
        <sz val="12"/>
        <color rgb="FFFF0000"/>
        <rFont val="Calibri"/>
        <family val="2"/>
        <scheme val="minor"/>
      </rPr>
      <t xml:space="preserve">20 Ga 2-1/2" mtl studs @ 16 O.C. </t>
    </r>
    <r>
      <rPr>
        <sz val="12"/>
        <color rgb="FFFF0000"/>
        <rFont val="Calibri"/>
        <family val="2"/>
        <scheme val="minor"/>
      </rPr>
      <t>with batt insulation. Pipe chase space. 2 layers 5/8" USG fiberock brand panels (Fiberock aqua tough brand at all wet areas finished with 3/32" thick gypsum veneer plaster skim coat.</t>
    </r>
  </si>
  <si>
    <r>
      <t xml:space="preserve">3 layer 5/8" USG fiberock brand panels, glue third layer finished with </t>
    </r>
    <r>
      <rPr>
        <sz val="12"/>
        <color rgb="FF92D050"/>
        <rFont val="Calibri"/>
        <family val="2"/>
        <scheme val="minor"/>
      </rPr>
      <t>3/32" thick gypsum veneer plaster skim coat</t>
    </r>
    <r>
      <rPr>
        <sz val="12"/>
        <rFont val="Calibri"/>
        <family val="2"/>
        <scheme val="minor"/>
      </rPr>
      <t>.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C000"/>
        <rFont val="Calibri"/>
        <family val="2"/>
        <scheme val="minor"/>
      </rPr>
      <t>3 5/8" stl studs 20 GA @16"O.C.</t>
    </r>
    <r>
      <rPr>
        <sz val="12"/>
        <color rgb="FF00B0F0"/>
        <rFont val="Calibri"/>
        <family val="2"/>
        <scheme val="minor"/>
      </rPr>
      <t xml:space="preserve"> </t>
    </r>
    <r>
      <rPr>
        <sz val="12"/>
        <color rgb="FF002060"/>
        <rFont val="Calibri"/>
        <family val="2"/>
        <scheme val="minor"/>
      </rPr>
      <t xml:space="preserve">Batt insulation Type SAFB. </t>
    </r>
    <r>
      <rPr>
        <sz val="12"/>
        <rFont val="Calibri"/>
        <family val="2"/>
        <scheme val="minor"/>
      </rPr>
      <t>3 layer 5/8" USG fiberock brand panels, glue third layer finished with 3-32" thick gypsum veneer plaster skim coat</t>
    </r>
  </si>
  <si>
    <t>Wet Ceiling</t>
  </si>
  <si>
    <t>Height 9'6"</t>
  </si>
  <si>
    <t>For Doors &amp; Cabinets 1'3"</t>
  </si>
  <si>
    <t>Exclusions</t>
  </si>
  <si>
    <t>Mouldings</t>
  </si>
  <si>
    <t>Patch work</t>
  </si>
  <si>
    <t>Fixtures</t>
  </si>
  <si>
    <t>Electrical work</t>
  </si>
  <si>
    <t>Stone and/or tile work</t>
  </si>
  <si>
    <t>SUB TOTAL</t>
  </si>
  <si>
    <t>TOTAL BASE BID</t>
  </si>
  <si>
    <t>WASTE</t>
  </si>
  <si>
    <t>QTY. W/ WASTE</t>
  </si>
  <si>
    <t>625 PARK AVENUE,</t>
  </si>
  <si>
    <t>NEW YORK, NY-10065.</t>
  </si>
  <si>
    <t>INSURANCE (3%)</t>
  </si>
  <si>
    <t>09 26</t>
  </si>
  <si>
    <t>3-5/8" steel studs 20 GA @ 16" O.C.</t>
  </si>
  <si>
    <t xml:space="preserve">1-5/8" steel studs 20 GA @ 12" O.C. </t>
  </si>
  <si>
    <t>09 29</t>
  </si>
  <si>
    <t>Dry</t>
  </si>
  <si>
    <t>Wet</t>
  </si>
  <si>
    <t>Single side areas</t>
  </si>
  <si>
    <t>Wall type 8 [no details on provided on the drawing]</t>
  </si>
  <si>
    <t>2 layered 5/8" thick USG fiberock brand panels for walls and ceilings.</t>
  </si>
  <si>
    <t>2 layerd 5/8" thick USG fiberock aqua tough brand panels for wall and ceilings in wet areas.</t>
  </si>
  <si>
    <t>2 layered 2 HR rated 5/8" thick USG fiberock brand panels for walls.</t>
  </si>
  <si>
    <t>2 layered 2 HR rated 5/8" thick USG fiberock  aqua tough brand panels for walls in wet areas.</t>
  </si>
  <si>
    <t>3 layered 3 HR rated 5/8" thick USG fiberock brand panels for walls.</t>
  </si>
  <si>
    <t>Batt Insulation.</t>
  </si>
  <si>
    <t>Batt Insulation type SAFB.</t>
  </si>
  <si>
    <t>09 22 16</t>
  </si>
  <si>
    <t>10 22 16</t>
  </si>
  <si>
    <t>09 22 26</t>
  </si>
  <si>
    <t>Ceiling suspension system.</t>
  </si>
  <si>
    <t>07 21 16</t>
  </si>
  <si>
    <t>CSI SEC.</t>
  </si>
  <si>
    <t>ITEM COST</t>
  </si>
  <si>
    <t>OVERHEAD AND PROFIT</t>
  </si>
  <si>
    <t>lf</t>
  </si>
  <si>
    <t>TOTAL UNIT COST</t>
  </si>
  <si>
    <r>
      <t xml:space="preserve">General Exclusions: </t>
    </r>
    <r>
      <rPr>
        <sz val="12"/>
        <rFont val="Calibri"/>
        <family val="2"/>
        <scheme val="minor"/>
      </rPr>
      <t>Any kind of controlled inspection, contaminated material, architect and engineering fees, security, building charges, sign off, asbestos removal, protection of adjoining building (if any), any work not mentioned above.</t>
    </r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</si>
  <si>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reponsible for any kind of variations in the prices. So, it is preferred to review the prices.</t>
    </r>
  </si>
  <si>
    <t>ea</t>
  </si>
  <si>
    <t>DEMOLITION/REMOVALS</t>
  </si>
  <si>
    <t xml:space="preserve">Removal of Existing Windows </t>
  </si>
  <si>
    <t xml:space="preserve">OPENINGS </t>
  </si>
  <si>
    <t>DOORS</t>
  </si>
  <si>
    <t xml:space="preserve">FINISHES </t>
  </si>
  <si>
    <t xml:space="preserve">DRY WALLS </t>
  </si>
  <si>
    <t xml:space="preserve">FLOORING </t>
  </si>
  <si>
    <t xml:space="preserve">CEILING </t>
  </si>
  <si>
    <t>CONCRETE</t>
  </si>
  <si>
    <t>cy</t>
  </si>
  <si>
    <t>riser</t>
  </si>
  <si>
    <t xml:space="preserve">METALS </t>
  </si>
  <si>
    <t xml:space="preserve">WOOD PLASTICS &amp; COMPOSITES </t>
  </si>
  <si>
    <t xml:space="preserve">WINDOWS </t>
  </si>
  <si>
    <t xml:space="preserve">2x4 Studs @ 16" o.c </t>
  </si>
  <si>
    <t xml:space="preserve">Batt Insulation </t>
  </si>
  <si>
    <t xml:space="preserve">Sealant Top &amp; Bottom </t>
  </si>
  <si>
    <t xml:space="preserve">Removal of Existing Interior Walls </t>
  </si>
  <si>
    <t xml:space="preserve">Removal of Existing Doors </t>
  </si>
  <si>
    <t xml:space="preserve">Removal of Existing Bathroom Fixtures </t>
  </si>
  <si>
    <t xml:space="preserve">THERMAL &amp; MOISTURE PROTECTION </t>
  </si>
  <si>
    <t>loc</t>
  </si>
  <si>
    <t xml:space="preserve">Paint on Walls </t>
  </si>
  <si>
    <t xml:space="preserve">Paint on Ceiling </t>
  </si>
  <si>
    <t xml:space="preserve">Paint on Doors </t>
  </si>
  <si>
    <t xml:space="preserve">PLUMBING </t>
  </si>
  <si>
    <t xml:space="preserve">Water Closet </t>
  </si>
  <si>
    <t xml:space="preserve">Lavatory </t>
  </si>
  <si>
    <t>Removal of Existing Stairs</t>
  </si>
  <si>
    <t>Removal of Existing Rear Wall for Extension</t>
  </si>
  <si>
    <r>
      <t>Size:</t>
    </r>
    <r>
      <rPr>
        <sz val="12"/>
        <rFont val="Calibri"/>
        <family val="2"/>
        <scheme val="minor"/>
      </rPr>
      <t xml:space="preserve">3'-0"x6'-8"x1-3/4" </t>
    </r>
    <r>
      <rPr>
        <b/>
        <sz val="12"/>
        <rFont val="Calibri"/>
        <family val="2"/>
        <scheme val="minor"/>
      </rPr>
      <t xml:space="preserve">           Type:</t>
    </r>
    <r>
      <rPr>
        <sz val="12"/>
        <rFont val="Calibri"/>
        <family val="2"/>
        <scheme val="minor"/>
      </rPr>
      <t>Full Lite</t>
    </r>
    <r>
      <rPr>
        <b/>
        <sz val="12"/>
        <rFont val="Calibri"/>
        <family val="2"/>
        <scheme val="minor"/>
      </rPr>
      <t xml:space="preserve">
Material:</t>
    </r>
    <r>
      <rPr>
        <sz val="12"/>
        <rFont val="Calibri"/>
        <family val="2"/>
        <scheme val="minor"/>
      </rPr>
      <t>Tempered Glass Egress</t>
    </r>
    <r>
      <rPr>
        <b/>
        <sz val="12"/>
        <rFont val="Calibri"/>
        <family val="2"/>
        <scheme val="minor"/>
      </rPr>
      <t xml:space="preserve">     </t>
    </r>
  </si>
  <si>
    <r>
      <t>Size:</t>
    </r>
    <r>
      <rPr>
        <sz val="12"/>
        <rFont val="Calibri"/>
        <family val="2"/>
        <scheme val="minor"/>
      </rPr>
      <t xml:space="preserve">(2)2'-0"x6'-8"x1-3/4" </t>
    </r>
    <r>
      <rPr>
        <b/>
        <sz val="12"/>
        <rFont val="Calibri"/>
        <family val="2"/>
        <scheme val="minor"/>
      </rPr>
      <t xml:space="preserve">      Type:</t>
    </r>
    <r>
      <rPr>
        <sz val="12"/>
        <rFont val="Calibri"/>
        <family val="2"/>
        <scheme val="minor"/>
      </rPr>
      <t>French Doors</t>
    </r>
    <r>
      <rPr>
        <b/>
        <sz val="12"/>
        <rFont val="Calibri"/>
        <family val="2"/>
        <scheme val="minor"/>
      </rPr>
      <t xml:space="preserve">
Material:</t>
    </r>
    <r>
      <rPr>
        <sz val="12"/>
        <rFont val="Calibri"/>
        <family val="2"/>
        <scheme val="minor"/>
      </rPr>
      <t xml:space="preserve">Tempered Glass      </t>
    </r>
    <r>
      <rPr>
        <b/>
        <sz val="12"/>
        <rFont val="Calibri"/>
        <family val="2"/>
        <scheme val="minor"/>
      </rPr>
      <t xml:space="preserve">     </t>
    </r>
  </si>
  <si>
    <r>
      <t>Size:</t>
    </r>
    <r>
      <rPr>
        <sz val="12"/>
        <rFont val="Calibri"/>
        <family val="2"/>
        <scheme val="minor"/>
      </rPr>
      <t xml:space="preserve">2'-4"x6'-8"x1-3/8" </t>
    </r>
    <r>
      <rPr>
        <b/>
        <sz val="12"/>
        <rFont val="Calibri"/>
        <family val="2"/>
        <scheme val="minor"/>
      </rPr>
      <t xml:space="preserve">     
Type:</t>
    </r>
    <r>
      <rPr>
        <sz val="12"/>
        <rFont val="Calibri"/>
        <family val="2"/>
        <scheme val="minor"/>
      </rPr>
      <t>Interior Doors</t>
    </r>
  </si>
  <si>
    <r>
      <t>Size:</t>
    </r>
    <r>
      <rPr>
        <sz val="12"/>
        <rFont val="Calibri"/>
        <family val="2"/>
        <scheme val="minor"/>
      </rPr>
      <t xml:space="preserve">2'-6"x6'-8"x1-3/8" </t>
    </r>
    <r>
      <rPr>
        <b/>
        <sz val="12"/>
        <rFont val="Calibri"/>
        <family val="2"/>
        <scheme val="minor"/>
      </rPr>
      <t xml:space="preserve">     
Type:</t>
    </r>
    <r>
      <rPr>
        <sz val="12"/>
        <rFont val="Calibri"/>
        <family val="2"/>
        <scheme val="minor"/>
      </rPr>
      <t>Interior Doors</t>
    </r>
  </si>
  <si>
    <r>
      <t>Size:</t>
    </r>
    <r>
      <rPr>
        <sz val="12"/>
        <rFont val="Calibri"/>
        <family val="2"/>
        <scheme val="minor"/>
      </rPr>
      <t xml:space="preserve">(2)2'-0"x6'-8"x1-3/8" </t>
    </r>
    <r>
      <rPr>
        <b/>
        <sz val="12"/>
        <rFont val="Calibri"/>
        <family val="2"/>
        <scheme val="minor"/>
      </rPr>
      <t xml:space="preserve">      Type:</t>
    </r>
    <r>
      <rPr>
        <sz val="12"/>
        <rFont val="Calibri"/>
        <family val="2"/>
        <scheme val="minor"/>
      </rPr>
      <t>BI-Pass Wardrobe</t>
    </r>
    <r>
      <rPr>
        <b/>
        <sz val="12"/>
        <rFont val="Calibri"/>
        <family val="2"/>
        <scheme val="minor"/>
      </rPr>
      <t xml:space="preserve">
Material:</t>
    </r>
    <r>
      <rPr>
        <sz val="12"/>
        <rFont val="Calibri"/>
        <family val="2"/>
        <scheme val="minor"/>
      </rPr>
      <t xml:space="preserve">Tempered Glass      </t>
    </r>
    <r>
      <rPr>
        <b/>
        <sz val="12"/>
        <rFont val="Calibri"/>
        <family val="2"/>
        <scheme val="minor"/>
      </rPr>
      <t xml:space="preserve">     </t>
    </r>
  </si>
  <si>
    <r>
      <t>Size:</t>
    </r>
    <r>
      <rPr>
        <sz val="12"/>
        <rFont val="Calibri"/>
        <family val="2"/>
        <scheme val="minor"/>
      </rPr>
      <t xml:space="preserve">3'-0"x6'-8"x1-3/8" </t>
    </r>
    <r>
      <rPr>
        <b/>
        <sz val="12"/>
        <rFont val="Calibri"/>
        <family val="2"/>
        <scheme val="minor"/>
      </rPr>
      <t xml:space="preserve">          
Type:</t>
    </r>
    <r>
      <rPr>
        <sz val="12"/>
        <rFont val="Calibri"/>
        <family val="2"/>
        <scheme val="minor"/>
      </rPr>
      <t>Pocket Door</t>
    </r>
  </si>
  <si>
    <r>
      <t>Size:</t>
    </r>
    <r>
      <rPr>
        <sz val="12"/>
        <rFont val="Calibri"/>
        <family val="2"/>
        <scheme val="minor"/>
      </rPr>
      <t xml:space="preserve">2'-4"x6'-8"x1-3/8" </t>
    </r>
    <r>
      <rPr>
        <b/>
        <sz val="12"/>
        <rFont val="Calibri"/>
        <family val="2"/>
        <scheme val="minor"/>
      </rPr>
      <t xml:space="preserve">     
Type:</t>
    </r>
    <r>
      <rPr>
        <sz val="12"/>
        <rFont val="Calibri"/>
        <family val="2"/>
        <scheme val="minor"/>
      </rPr>
      <t>Pocket Door (Attic Access Door)</t>
    </r>
  </si>
  <si>
    <r>
      <t>Size:</t>
    </r>
    <r>
      <rPr>
        <sz val="12"/>
        <rFont val="Calibri"/>
        <family val="2"/>
        <scheme val="minor"/>
      </rPr>
      <t xml:space="preserve">2'-0"x3'-0"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RHH Casement </t>
    </r>
    <r>
      <rPr>
        <b/>
        <sz val="12"/>
        <rFont val="Calibri"/>
        <family val="2"/>
        <scheme val="minor"/>
      </rPr>
      <t xml:space="preserve">
Material:</t>
    </r>
    <r>
      <rPr>
        <sz val="12"/>
        <rFont val="Calibri"/>
        <family val="2"/>
        <scheme val="minor"/>
      </rPr>
      <t xml:space="preserve">Tempered Glass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Composite</t>
    </r>
  </si>
  <si>
    <r>
      <t>Size:</t>
    </r>
    <r>
      <rPr>
        <sz val="12"/>
        <rFont val="Calibri"/>
        <family val="2"/>
        <scheme val="minor"/>
      </rPr>
      <t xml:space="preserve">1'-6"x3'-0"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LHH Casement </t>
    </r>
    <r>
      <rPr>
        <b/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Composite</t>
    </r>
  </si>
  <si>
    <r>
      <t>Size:</t>
    </r>
    <r>
      <rPr>
        <sz val="12"/>
        <rFont val="Calibri"/>
        <family val="2"/>
        <scheme val="minor"/>
      </rPr>
      <t xml:space="preserve">1'-6"x3'-0"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RHH Casement </t>
    </r>
    <r>
      <rPr>
        <b/>
        <sz val="12"/>
        <rFont val="Calibri"/>
        <family val="2"/>
        <scheme val="minor"/>
      </rPr>
      <t xml:space="preserve">
Frame:</t>
    </r>
    <r>
      <rPr>
        <sz val="12"/>
        <rFont val="Calibri"/>
        <family val="2"/>
        <scheme val="minor"/>
      </rPr>
      <t>Composite</t>
    </r>
  </si>
  <si>
    <r>
      <t>Size:</t>
    </r>
    <r>
      <rPr>
        <sz val="12"/>
        <rFont val="Calibri"/>
        <family val="2"/>
        <scheme val="minor"/>
      </rPr>
      <t xml:space="preserve">2'-6"x4'-0"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RHH Casement </t>
    </r>
    <r>
      <rPr>
        <b/>
        <sz val="12"/>
        <rFont val="Calibri"/>
        <family val="2"/>
        <scheme val="minor"/>
      </rPr>
      <t xml:space="preserve">
Frame:</t>
    </r>
    <r>
      <rPr>
        <sz val="12"/>
        <rFont val="Calibri"/>
        <family val="2"/>
        <scheme val="minor"/>
      </rPr>
      <t>Composite (Egress)</t>
    </r>
  </si>
  <si>
    <r>
      <t>Size:</t>
    </r>
    <r>
      <rPr>
        <sz val="12"/>
        <rFont val="Calibri"/>
        <family val="2"/>
        <scheme val="minor"/>
      </rPr>
      <t xml:space="preserve">3'-0"x4'-0"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>Fixed</t>
    </r>
    <r>
      <rPr>
        <b/>
        <sz val="12"/>
        <rFont val="Calibri"/>
        <family val="2"/>
        <scheme val="minor"/>
      </rPr>
      <t xml:space="preserve">
Material:</t>
    </r>
    <r>
      <rPr>
        <sz val="12"/>
        <rFont val="Calibri"/>
        <family val="2"/>
        <scheme val="minor"/>
      </rPr>
      <t xml:space="preserve">Tempered Glass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Composite</t>
    </r>
  </si>
  <si>
    <t xml:space="preserve">New 2x4 Stud Wall </t>
  </si>
  <si>
    <t xml:space="preserve">1 Layer of 1/2" Thick Gypsum Board Each Side </t>
  </si>
  <si>
    <t xml:space="preserve">1 Layer of 1/2" Thick Water Resistant Gypsum Board at Wet Locations </t>
  </si>
  <si>
    <t xml:space="preserve">1 Hour Rated Stucco Wall </t>
  </si>
  <si>
    <t xml:space="preserve">1 Layer of 5/8" Thick Gypsum Board Interior Side </t>
  </si>
  <si>
    <t>Hardwood Flooring</t>
  </si>
  <si>
    <t xml:space="preserve">Tile Flooring </t>
  </si>
  <si>
    <t xml:space="preserve">Gypsum Board Ceiling </t>
  </si>
  <si>
    <t>PAINT</t>
  </si>
  <si>
    <t xml:space="preserve">R-19 Insulation Typical at Floors </t>
  </si>
  <si>
    <t xml:space="preserve">7/8" Thick Stucco </t>
  </si>
  <si>
    <t xml:space="preserve">Dens Glass Type 'X' Gypsum Board Soffit Under Eave </t>
  </si>
  <si>
    <t xml:space="preserve">Radient Barrier Roof Sheathing </t>
  </si>
  <si>
    <t xml:space="preserve">4" Thick New Concrete Slab </t>
  </si>
  <si>
    <t>8" Thick Concrete Wall</t>
  </si>
  <si>
    <r>
      <rPr>
        <b/>
        <u/>
        <sz val="12"/>
        <rFont val="Calibri"/>
        <family val="2"/>
        <scheme val="minor"/>
      </rPr>
      <t>18" Thick Continous Concrete Wall Footing</t>
    </r>
    <r>
      <rPr>
        <sz val="12"/>
        <rFont val="Calibri"/>
        <family val="2"/>
        <scheme val="minor"/>
      </rPr>
      <t xml:space="preserve"> Reinforced w/ 2#4 Bars Top &amp; Bottom </t>
    </r>
  </si>
  <si>
    <t xml:space="preserve">Concrete landing </t>
  </si>
  <si>
    <t>34"-38" High Stair Handrail</t>
  </si>
  <si>
    <t xml:space="preserve">Holdowns </t>
  </si>
  <si>
    <t xml:space="preserve">2"x10" @ 16" o.c Floor Joists </t>
  </si>
  <si>
    <t xml:space="preserve">New 2"x6" Floor Joists @ 16" o.c </t>
  </si>
  <si>
    <t xml:space="preserve">(2) 2"x10" @ 16" o.c Floor Joists </t>
  </si>
  <si>
    <t xml:space="preserve">2"x10" @ 16" o.c Roof Joists </t>
  </si>
  <si>
    <t xml:space="preserve">2"x14" @ 16" o.c Stair Stringers </t>
  </si>
  <si>
    <t xml:space="preserve">2"x8" Ceiling Joists @ 16" o.c </t>
  </si>
  <si>
    <t xml:space="preserve">2"x6" Ceiling Joists @ 16" o.c </t>
  </si>
  <si>
    <t xml:space="preserve">4x10 Beam </t>
  </si>
  <si>
    <t xml:space="preserve">4x4 Wooden Post </t>
  </si>
  <si>
    <t xml:space="preserve">4x6 Gider </t>
  </si>
  <si>
    <t xml:space="preserve">4x6 Wooden Post </t>
  </si>
  <si>
    <t xml:space="preserve">6x10 Beam </t>
  </si>
  <si>
    <t xml:space="preserve">6x12 Ridge Beam </t>
  </si>
  <si>
    <t xml:space="preserve">4x6 Header </t>
  </si>
  <si>
    <t xml:space="preserve">4x8 Header </t>
  </si>
  <si>
    <t xml:space="preserve">4x12 Header </t>
  </si>
  <si>
    <t>Wood Plank Stairs</t>
  </si>
  <si>
    <t>15/32" Thick C-D,C-C Plywood Sheathing at Shear Wall</t>
  </si>
  <si>
    <t>15/32" Thick Structural Plywood Sheathing at Shear Wall</t>
  </si>
  <si>
    <t xml:space="preserve">Wood Blocking </t>
  </si>
  <si>
    <t xml:space="preserve">MILLWORK </t>
  </si>
  <si>
    <t xml:space="preserve">Master Bathroom Counter Top </t>
  </si>
  <si>
    <t xml:space="preserve">Shelving </t>
  </si>
  <si>
    <t xml:space="preserve">R-30 Insulation </t>
  </si>
  <si>
    <t xml:space="preserve">Moisture Stop Flashing </t>
  </si>
  <si>
    <t xml:space="preserve">GAF Composite Shingles Class A </t>
  </si>
  <si>
    <t xml:space="preserve">2x8 Fascia </t>
  </si>
  <si>
    <t xml:space="preserve">New Cement Fiber Board Trim </t>
  </si>
  <si>
    <t xml:space="preserve">Bath Tub </t>
  </si>
  <si>
    <t xml:space="preserve">Shower Enclosure </t>
  </si>
  <si>
    <t xml:space="preserve">ELECTRICAL </t>
  </si>
  <si>
    <t xml:space="preserve">One-Way Switch </t>
  </si>
  <si>
    <t>One-Way Switch (Dimmer)</t>
  </si>
  <si>
    <t xml:space="preserve">Three-Way Switch </t>
  </si>
  <si>
    <t>Three-Way Switch (Dimmer)</t>
  </si>
  <si>
    <t xml:space="preserve">Receptacle Arc-Fault </t>
  </si>
  <si>
    <t>Ground Fault Receptacle (Weather Resistant)</t>
  </si>
  <si>
    <t xml:space="preserve">Ground Fault Receptacle </t>
  </si>
  <si>
    <t xml:space="preserve">Bathroom Fan </t>
  </si>
  <si>
    <t>Recessed Light (High Efficiency)</t>
  </si>
  <si>
    <t xml:space="preserve">Directional Recessed Light </t>
  </si>
  <si>
    <t xml:space="preserve">Ceiling Fan </t>
  </si>
  <si>
    <t>Electrical Panel (200A)</t>
  </si>
  <si>
    <t xml:space="preserve">Luminar </t>
  </si>
  <si>
    <t xml:space="preserve">Electric Wiring </t>
  </si>
  <si>
    <t>Wall Mounted Fixture (Motion &amp; Photo Sensitive &amp; High Efficiency)</t>
  </si>
  <si>
    <t xml:space="preserve">One-Way Switch w/ Vacancy Sensor </t>
  </si>
  <si>
    <t xml:space="preserve">Three-Way Switch w/ Vacancy Sensor </t>
  </si>
  <si>
    <t>ls</t>
  </si>
  <si>
    <t xml:space="preserve">LED Recessed Light </t>
  </si>
  <si>
    <t>Working Foreman 10 weeks @ 2250$ per Week</t>
  </si>
  <si>
    <t xml:space="preserve">INTERIOR FINISHES </t>
  </si>
  <si>
    <t xml:space="preserve">Tile on Walls &amp; Tub Deck </t>
  </si>
  <si>
    <t>Hot Mop Shower Pan</t>
  </si>
  <si>
    <r>
      <rPr>
        <b/>
        <sz val="12"/>
        <rFont val="Calibri"/>
        <family val="2"/>
        <scheme val="minor"/>
      </rPr>
      <t>NOTE:</t>
    </r>
    <r>
      <rPr>
        <sz val="12"/>
        <rFont val="Calibri"/>
        <family val="2"/>
        <scheme val="minor"/>
      </rPr>
      <t xml:space="preserve">Cost for Doors &amp; Windows Include Material &amp; Labor Both Costs.Above Mentioned Prices are Standard &amp; Taken from rsmeansonline.com so its preferred to check pricing </t>
    </r>
  </si>
  <si>
    <t>Remodeling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</si>
</sst>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_(&quot;$&quot;* #,##0.0_);_(&quot;$&quot;* \(#,##0.0\);_(&quot;$&quot;* &quot;-&quot;??_);_(@_)"/>
    <numFmt numFmtId="169" formatCode="_(* #,##0.00_);_(* \(#,##0.00\);_(* &quot;-&quot;_);_(@_)"/>
  </numFmts>
  <fonts count="4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20"/>
      <color theme="8" tint="-0.249977111117893"/>
      <name val="Arial Black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2" fillId="0" borderId="0"/>
    <xf numFmtId="0" fontId="4" fillId="0" borderId="0"/>
    <xf numFmtId="43" fontId="22" fillId="0" borderId="0" applyFont="0" applyFill="0" applyBorder="0" applyAlignment="0" applyProtection="0"/>
    <xf numFmtId="0" fontId="23" fillId="0" borderId="0"/>
    <xf numFmtId="43" fontId="4" fillId="0" borderId="0" applyFont="0" applyFill="0" applyBorder="0" applyAlignment="0" applyProtection="0"/>
    <xf numFmtId="0" fontId="4" fillId="0" borderId="0"/>
    <xf numFmtId="44" fontId="2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73">
    <xf numFmtId="0" fontId="0" fillId="0" borderId="0" xfId="0"/>
    <xf numFmtId="2" fontId="3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 wrapText="1"/>
    </xf>
    <xf numFmtId="165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horizontal="right" vertical="center" wrapText="1"/>
    </xf>
    <xf numFmtId="0" fontId="24" fillId="0" borderId="12" xfId="0" applyFont="1" applyBorder="1" applyAlignment="1">
      <alignment vertical="center"/>
    </xf>
    <xf numFmtId="0" fontId="24" fillId="25" borderId="10" xfId="0" applyFont="1" applyFill="1" applyBorder="1" applyAlignment="1">
      <alignment vertical="center" wrapText="1"/>
    </xf>
    <xf numFmtId="0" fontId="24" fillId="25" borderId="10" xfId="0" applyFont="1" applyFill="1" applyBorder="1" applyAlignment="1">
      <alignment horizontal="center" vertical="center"/>
    </xf>
    <xf numFmtId="165" fontId="24" fillId="25" borderId="10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horizontal="right" vertical="center"/>
    </xf>
    <xf numFmtId="42" fontId="24" fillId="0" borderId="0" xfId="0" applyNumberFormat="1" applyFont="1" applyAlignment="1">
      <alignment horizontal="left" vertical="center"/>
    </xf>
    <xf numFmtId="166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165" fontId="24" fillId="0" borderId="1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7" fillId="24" borderId="13" xfId="0" applyFont="1" applyFill="1" applyBorder="1" applyAlignment="1">
      <alignment horizontal="center" vertical="top" wrapText="1"/>
    </xf>
    <xf numFmtId="2" fontId="27" fillId="24" borderId="14" xfId="0" applyNumberFormat="1" applyFont="1" applyFill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top"/>
    </xf>
    <xf numFmtId="41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25" fillId="25" borderId="16" xfId="0" quotePrefix="1" applyFont="1" applyFill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42" fontId="25" fillId="0" borderId="12" xfId="0" applyNumberFormat="1" applyFont="1" applyBorder="1" applyAlignment="1">
      <alignment vertical="center"/>
    </xf>
    <xf numFmtId="166" fontId="29" fillId="0" borderId="0" xfId="0" applyNumberFormat="1" applyFont="1" applyAlignment="1">
      <alignment horizontal="left" vertical="center"/>
    </xf>
    <xf numFmtId="0" fontId="30" fillId="25" borderId="10" xfId="0" applyFont="1" applyFill="1" applyBorder="1" applyAlignment="1">
      <alignment vertical="center" wrapText="1"/>
    </xf>
    <xf numFmtId="41" fontId="31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2" fontId="40" fillId="0" borderId="0" xfId="0" applyNumberFormat="1" applyFont="1" applyAlignment="1">
      <alignment vertical="center" wrapText="1"/>
    </xf>
    <xf numFmtId="2" fontId="41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left" vertical="top"/>
    </xf>
    <xf numFmtId="0" fontId="24" fillId="0" borderId="21" xfId="0" applyFont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5" fillId="25" borderId="24" xfId="0" quotePrefix="1" applyFont="1" applyFill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2" fontId="3" fillId="0" borderId="0" xfId="0" applyNumberFormat="1" applyFont="1" applyAlignment="1">
      <alignment horizontal="left" vertical="top"/>
    </xf>
    <xf numFmtId="2" fontId="24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left" vertical="top"/>
    </xf>
    <xf numFmtId="2" fontId="24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2" fontId="3" fillId="0" borderId="0" xfId="0" applyNumberFormat="1" applyFont="1" applyAlignment="1">
      <alignment horizontal="right" vertical="top"/>
    </xf>
    <xf numFmtId="165" fontId="24" fillId="0" borderId="0" xfId="0" applyNumberFormat="1" applyFont="1" applyAlignment="1">
      <alignment vertical="top"/>
    </xf>
    <xf numFmtId="2" fontId="24" fillId="0" borderId="0" xfId="0" applyNumberFormat="1" applyFont="1" applyAlignment="1">
      <alignment vertical="top" wrapText="1"/>
    </xf>
    <xf numFmtId="2" fontId="24" fillId="0" borderId="0" xfId="0" applyNumberFormat="1" applyFont="1" applyAlignment="1">
      <alignment horizontal="center" vertical="top" wrapText="1"/>
    </xf>
    <xf numFmtId="165" fontId="25" fillId="0" borderId="0" xfId="0" applyNumberFormat="1" applyFont="1" applyAlignment="1">
      <alignment horizontal="center" vertical="top"/>
    </xf>
    <xf numFmtId="164" fontId="25" fillId="0" borderId="0" xfId="0" applyNumberFormat="1" applyFont="1" applyAlignment="1">
      <alignment horizontal="center" vertical="top"/>
    </xf>
    <xf numFmtId="2" fontId="27" fillId="24" borderId="14" xfId="0" applyNumberFormat="1" applyFont="1" applyFill="1" applyBorder="1" applyAlignment="1">
      <alignment horizontal="center" vertical="top" wrapText="1"/>
    </xf>
    <xf numFmtId="0" fontId="27" fillId="24" borderId="14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30" fillId="25" borderId="25" xfId="0" applyFont="1" applyFill="1" applyBorder="1" applyAlignment="1">
      <alignment vertical="top" wrapText="1"/>
    </xf>
    <xf numFmtId="0" fontId="24" fillId="25" borderId="25" xfId="0" applyFont="1" applyFill="1" applyBorder="1" applyAlignment="1">
      <alignment horizontal="center" vertical="top" wrapText="1"/>
    </xf>
    <xf numFmtId="0" fontId="24" fillId="25" borderId="25" xfId="0" applyFont="1" applyFill="1" applyBorder="1" applyAlignment="1">
      <alignment horizontal="center" vertical="top"/>
    </xf>
    <xf numFmtId="0" fontId="24" fillId="25" borderId="25" xfId="0" applyFont="1" applyFill="1" applyBorder="1" applyAlignment="1">
      <alignment vertical="top" wrapText="1"/>
    </xf>
    <xf numFmtId="165" fontId="24" fillId="25" borderId="26" xfId="0" applyNumberFormat="1" applyFont="1" applyFill="1" applyBorder="1" applyAlignment="1">
      <alignment vertical="top"/>
    </xf>
    <xf numFmtId="0" fontId="24" fillId="0" borderId="19" xfId="0" applyFont="1" applyBorder="1" applyAlignment="1">
      <alignment vertical="top"/>
    </xf>
    <xf numFmtId="0" fontId="31" fillId="0" borderId="28" xfId="0" applyFont="1" applyBorder="1" applyAlignment="1">
      <alignment horizontal="justify" vertical="top" wrapText="1"/>
    </xf>
    <xf numFmtId="41" fontId="31" fillId="0" borderId="28" xfId="0" applyNumberFormat="1" applyFont="1" applyBorder="1" applyAlignment="1">
      <alignment horizontal="right" vertical="top"/>
    </xf>
    <xf numFmtId="9" fontId="31" fillId="0" borderId="28" xfId="0" applyNumberFormat="1" applyFont="1" applyBorder="1" applyAlignment="1">
      <alignment horizontal="right" vertical="top"/>
    </xf>
    <xf numFmtId="0" fontId="24" fillId="0" borderId="28" xfId="0" applyFont="1" applyBorder="1" applyAlignment="1">
      <alignment horizontal="center" vertical="top"/>
    </xf>
    <xf numFmtId="166" fontId="24" fillId="0" borderId="28" xfId="0" applyNumberFormat="1" applyFont="1" applyBorder="1" applyAlignment="1">
      <alignment horizontal="left" vertical="top"/>
    </xf>
    <xf numFmtId="42" fontId="24" fillId="0" borderId="29" xfId="0" applyNumberFormat="1" applyFont="1" applyBorder="1" applyAlignment="1">
      <alignment horizontal="left" vertical="top"/>
    </xf>
    <xf numFmtId="0" fontId="24" fillId="0" borderId="0" xfId="0" applyFont="1" applyAlignment="1">
      <alignment horizontal="justify" vertical="top" wrapText="1"/>
    </xf>
    <xf numFmtId="41" fontId="31" fillId="0" borderId="0" xfId="0" applyNumberFormat="1" applyFont="1" applyAlignment="1">
      <alignment horizontal="right" vertical="top"/>
    </xf>
    <xf numFmtId="9" fontId="31" fillId="0" borderId="0" xfId="0" applyNumberFormat="1" applyFont="1" applyAlignment="1">
      <alignment horizontal="right" vertical="top"/>
    </xf>
    <xf numFmtId="166" fontId="24" fillId="0" borderId="0" xfId="0" applyNumberFormat="1" applyFont="1" applyAlignment="1">
      <alignment horizontal="left" vertical="top"/>
    </xf>
    <xf numFmtId="42" fontId="24" fillId="0" borderId="20" xfId="0" applyNumberFormat="1" applyFont="1" applyBorder="1" applyAlignment="1">
      <alignment horizontal="left" vertical="top"/>
    </xf>
    <xf numFmtId="0" fontId="24" fillId="0" borderId="0" xfId="0" quotePrefix="1" applyFont="1" applyAlignment="1">
      <alignment horizontal="justify" vertical="top" wrapText="1"/>
    </xf>
    <xf numFmtId="0" fontId="31" fillId="0" borderId="0" xfId="0" applyFont="1" applyAlignment="1">
      <alignment horizontal="left" vertical="top"/>
    </xf>
    <xf numFmtId="0" fontId="28" fillId="0" borderId="19" xfId="0" applyFont="1" applyBorder="1" applyAlignment="1">
      <alignment vertical="top"/>
    </xf>
    <xf numFmtId="0" fontId="28" fillId="0" borderId="0" xfId="0" applyFont="1" applyAlignment="1">
      <alignment vertical="top"/>
    </xf>
    <xf numFmtId="41" fontId="24" fillId="0" borderId="0" xfId="0" applyNumberFormat="1" applyFont="1" applyAlignment="1">
      <alignment horizontal="right" vertical="top"/>
    </xf>
    <xf numFmtId="0" fontId="31" fillId="0" borderId="0" xfId="0" applyFont="1" applyAlignment="1">
      <alignment horizontal="justify" vertical="top" wrapText="1"/>
    </xf>
    <xf numFmtId="0" fontId="31" fillId="0" borderId="22" xfId="0" applyFont="1" applyBorder="1" applyAlignment="1">
      <alignment horizontal="justify" vertical="top" wrapText="1"/>
    </xf>
    <xf numFmtId="41" fontId="24" fillId="0" borderId="22" xfId="0" applyNumberFormat="1" applyFont="1" applyBorder="1" applyAlignment="1">
      <alignment horizontal="right" vertical="top"/>
    </xf>
    <xf numFmtId="9" fontId="24" fillId="0" borderId="22" xfId="0" applyNumberFormat="1" applyFont="1" applyBorder="1" applyAlignment="1">
      <alignment horizontal="right" vertical="top"/>
    </xf>
    <xf numFmtId="41" fontId="31" fillId="0" borderId="22" xfId="0" applyNumberFormat="1" applyFont="1" applyBorder="1" applyAlignment="1">
      <alignment horizontal="right" vertical="top"/>
    </xf>
    <xf numFmtId="0" fontId="24" fillId="0" borderId="22" xfId="0" applyFont="1" applyBorder="1" applyAlignment="1">
      <alignment horizontal="center" vertical="top"/>
    </xf>
    <xf numFmtId="166" fontId="24" fillId="0" borderId="22" xfId="0" applyNumberFormat="1" applyFont="1" applyBorder="1" applyAlignment="1">
      <alignment horizontal="left" vertical="top"/>
    </xf>
    <xf numFmtId="42" fontId="24" fillId="0" borderId="23" xfId="0" applyNumberFormat="1" applyFont="1" applyBorder="1" applyAlignment="1">
      <alignment horizontal="left" vertical="top"/>
    </xf>
    <xf numFmtId="42" fontId="24" fillId="0" borderId="0" xfId="0" applyNumberFormat="1" applyFont="1" applyAlignment="1">
      <alignment horizontal="left" vertical="top"/>
    </xf>
    <xf numFmtId="0" fontId="24" fillId="0" borderId="12" xfId="0" applyFont="1" applyBorder="1" applyAlignment="1">
      <alignment vertical="top"/>
    </xf>
    <xf numFmtId="165" fontId="24" fillId="0" borderId="12" xfId="0" applyNumberFormat="1" applyFont="1" applyBorder="1" applyAlignment="1">
      <alignment horizontal="center" vertical="top"/>
    </xf>
    <xf numFmtId="0" fontId="24" fillId="0" borderId="12" xfId="0" applyFont="1" applyBorder="1" applyAlignment="1">
      <alignment horizontal="center" vertical="top"/>
    </xf>
    <xf numFmtId="0" fontId="24" fillId="0" borderId="12" xfId="0" applyFont="1" applyBorder="1" applyAlignment="1">
      <alignment horizontal="right" vertical="top" wrapText="1"/>
    </xf>
    <xf numFmtId="42" fontId="25" fillId="0" borderId="18" xfId="0" applyNumberFormat="1" applyFont="1" applyBorder="1" applyAlignment="1">
      <alignment vertical="top"/>
    </xf>
    <xf numFmtId="167" fontId="25" fillId="0" borderId="18" xfId="0" applyNumberFormat="1" applyFont="1" applyBorder="1" applyAlignment="1">
      <alignment vertical="top"/>
    </xf>
    <xf numFmtId="165" fontId="24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right" vertical="top" wrapText="1"/>
    </xf>
    <xf numFmtId="42" fontId="25" fillId="0" borderId="0" xfId="0" applyNumberFormat="1" applyFont="1" applyAlignment="1">
      <alignment vertical="top"/>
    </xf>
    <xf numFmtId="2" fontId="25" fillId="0" borderId="0" xfId="0" applyNumberFormat="1" applyFont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7" fillId="24" borderId="30" xfId="0" applyFont="1" applyFill="1" applyBorder="1" applyAlignment="1">
      <alignment horizontal="center" vertical="top" wrapText="1"/>
    </xf>
    <xf numFmtId="0" fontId="25" fillId="25" borderId="25" xfId="0" quotePrefix="1" applyFont="1" applyFill="1" applyBorder="1" applyAlignment="1">
      <alignment horizontal="center" vertical="top"/>
    </xf>
    <xf numFmtId="0" fontId="25" fillId="0" borderId="12" xfId="0" applyFont="1" applyBorder="1" applyAlignment="1">
      <alignment horizontal="left" vertical="top"/>
    </xf>
    <xf numFmtId="9" fontId="24" fillId="0" borderId="0" xfId="0" applyNumberFormat="1" applyFont="1" applyAlignment="1">
      <alignment horizontal="right" vertical="top"/>
    </xf>
    <xf numFmtId="10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0" fontId="15" fillId="7" borderId="32" xfId="34" applyNumberFormat="1" applyBorder="1" applyAlignment="1">
      <alignment vertical="top"/>
    </xf>
    <xf numFmtId="0" fontId="25" fillId="25" borderId="0" xfId="0" applyFont="1" applyFill="1" applyAlignment="1">
      <alignment vertical="top"/>
    </xf>
    <xf numFmtId="167" fontId="24" fillId="0" borderId="0" xfId="0" applyNumberFormat="1" applyFont="1" applyAlignment="1">
      <alignment vertical="top"/>
    </xf>
    <xf numFmtId="168" fontId="24" fillId="0" borderId="0" xfId="0" applyNumberFormat="1" applyFont="1" applyAlignment="1">
      <alignment vertical="top"/>
    </xf>
    <xf numFmtId="44" fontId="27" fillId="24" borderId="14" xfId="0" applyNumberFormat="1" applyFont="1" applyFill="1" applyBorder="1" applyAlignment="1">
      <alignment horizontal="center" vertical="top" wrapText="1"/>
    </xf>
    <xf numFmtId="42" fontId="25" fillId="0" borderId="20" xfId="0" applyNumberFormat="1" applyFont="1" applyBorder="1" applyAlignment="1">
      <alignment horizontal="left" vertical="top"/>
    </xf>
    <xf numFmtId="44" fontId="24" fillId="0" borderId="0" xfId="0" applyNumberFormat="1" applyFont="1" applyAlignment="1">
      <alignment vertical="top"/>
    </xf>
    <xf numFmtId="2" fontId="3" fillId="0" borderId="28" xfId="0" applyNumberFormat="1" applyFont="1" applyBorder="1" applyAlignment="1">
      <alignment horizontal="left" vertical="top"/>
    </xf>
    <xf numFmtId="2" fontId="24" fillId="0" borderId="28" xfId="0" applyNumberFormat="1" applyFont="1" applyBorder="1" applyAlignment="1">
      <alignment horizontal="center" vertical="top"/>
    </xf>
    <xf numFmtId="2" fontId="24" fillId="0" borderId="28" xfId="0" applyNumberFormat="1" applyFont="1" applyBorder="1" applyAlignment="1">
      <alignment horizontal="left" vertical="top"/>
    </xf>
    <xf numFmtId="2" fontId="24" fillId="0" borderId="29" xfId="0" applyNumberFormat="1" applyFont="1" applyBorder="1" applyAlignment="1">
      <alignment vertical="top"/>
    </xf>
    <xf numFmtId="2" fontId="24" fillId="0" borderId="20" xfId="0" applyNumberFormat="1" applyFont="1" applyBorder="1" applyAlignment="1">
      <alignment vertical="top"/>
    </xf>
    <xf numFmtId="2" fontId="25" fillId="0" borderId="0" xfId="0" applyNumberFormat="1" applyFont="1" applyAlignment="1">
      <alignment horizontal="center" vertical="top"/>
    </xf>
    <xf numFmtId="165" fontId="24" fillId="0" borderId="20" xfId="0" applyNumberFormat="1" applyFont="1" applyBorder="1" applyAlignment="1">
      <alignment vertical="top"/>
    </xf>
    <xf numFmtId="164" fontId="25" fillId="0" borderId="20" xfId="0" applyNumberFormat="1" applyFont="1" applyBorder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169" fontId="24" fillId="0" borderId="0" xfId="0" applyNumberFormat="1" applyFont="1" applyAlignment="1">
      <alignment horizontal="right" vertical="top"/>
    </xf>
    <xf numFmtId="2" fontId="43" fillId="0" borderId="0" xfId="0" applyNumberFormat="1" applyFont="1" applyAlignment="1">
      <alignment horizontal="center" vertical="center" wrapText="1"/>
    </xf>
    <xf numFmtId="165" fontId="25" fillId="26" borderId="34" xfId="0" applyNumberFormat="1" applyFont="1" applyFill="1" applyBorder="1" applyAlignment="1">
      <alignment horizontal="center" vertical="top"/>
    </xf>
    <xf numFmtId="0" fontId="25" fillId="26" borderId="31" xfId="0" applyFont="1" applyFill="1" applyBorder="1" applyAlignment="1">
      <alignment vertical="top"/>
    </xf>
    <xf numFmtId="165" fontId="25" fillId="26" borderId="31" xfId="0" applyNumberFormat="1" applyFont="1" applyFill="1" applyBorder="1" applyAlignment="1">
      <alignment horizontal="center" vertical="top"/>
    </xf>
    <xf numFmtId="0" fontId="25" fillId="26" borderId="31" xfId="0" applyFont="1" applyFill="1" applyBorder="1" applyAlignment="1">
      <alignment horizontal="center" vertical="top"/>
    </xf>
    <xf numFmtId="42" fontId="25" fillId="26" borderId="35" xfId="0" applyNumberFormat="1" applyFont="1" applyFill="1" applyBorder="1" applyAlignment="1">
      <alignment vertical="top"/>
    </xf>
    <xf numFmtId="0" fontId="25" fillId="26" borderId="0" xfId="0" applyFont="1" applyFill="1" applyAlignment="1">
      <alignment vertical="top"/>
    </xf>
    <xf numFmtId="0" fontId="25" fillId="26" borderId="36" xfId="0" applyFont="1" applyFill="1" applyBorder="1" applyAlignment="1">
      <alignment horizontal="left" vertical="top"/>
    </xf>
    <xf numFmtId="0" fontId="24" fillId="26" borderId="12" xfId="0" applyFont="1" applyFill="1" applyBorder="1" applyAlignment="1">
      <alignment vertical="top"/>
    </xf>
    <xf numFmtId="165" fontId="24" fillId="26" borderId="12" xfId="0" applyNumberFormat="1" applyFont="1" applyFill="1" applyBorder="1" applyAlignment="1">
      <alignment horizontal="center" vertical="top"/>
    </xf>
    <xf numFmtId="0" fontId="24" fillId="26" borderId="12" xfId="0" applyFont="1" applyFill="1" applyBorder="1" applyAlignment="1">
      <alignment horizontal="center" vertical="top"/>
    </xf>
    <xf numFmtId="42" fontId="25" fillId="26" borderId="33" xfId="0" applyNumberFormat="1" applyFont="1" applyFill="1" applyBorder="1" applyAlignment="1">
      <alignment vertical="top"/>
    </xf>
    <xf numFmtId="9" fontId="24" fillId="26" borderId="12" xfId="0" applyNumberFormat="1" applyFont="1" applyFill="1" applyBorder="1" applyAlignment="1">
      <alignment vertical="top"/>
    </xf>
    <xf numFmtId="42" fontId="25" fillId="26" borderId="37" xfId="0" applyNumberFormat="1" applyFont="1" applyFill="1" applyBorder="1" applyAlignment="1">
      <alignment vertical="top"/>
    </xf>
    <xf numFmtId="0" fontId="25" fillId="26" borderId="38" xfId="0" applyFont="1" applyFill="1" applyBorder="1" applyAlignment="1">
      <alignment horizontal="left" vertical="top"/>
    </xf>
    <xf numFmtId="0" fontId="24" fillId="26" borderId="39" xfId="0" applyFont="1" applyFill="1" applyBorder="1" applyAlignment="1">
      <alignment vertical="top"/>
    </xf>
    <xf numFmtId="165" fontId="24" fillId="26" borderId="39" xfId="0" applyNumberFormat="1" applyFont="1" applyFill="1" applyBorder="1" applyAlignment="1">
      <alignment horizontal="center" vertical="top"/>
    </xf>
    <xf numFmtId="0" fontId="24" fillId="26" borderId="39" xfId="0" applyFont="1" applyFill="1" applyBorder="1" applyAlignment="1">
      <alignment horizontal="center" vertical="top"/>
    </xf>
    <xf numFmtId="42" fontId="25" fillId="26" borderId="40" xfId="0" applyNumberFormat="1" applyFont="1" applyFill="1" applyBorder="1" applyAlignment="1">
      <alignment vertical="top"/>
    </xf>
    <xf numFmtId="42" fontId="25" fillId="26" borderId="23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20" xfId="0" applyNumberFormat="1" applyFont="1" applyBorder="1" applyAlignment="1">
      <alignment vertical="top"/>
    </xf>
    <xf numFmtId="0" fontId="25" fillId="27" borderId="19" xfId="0" applyFont="1" applyFill="1" applyBorder="1" applyAlignment="1">
      <alignment vertical="center" wrapText="1"/>
    </xf>
    <xf numFmtId="0" fontId="25" fillId="27" borderId="19" xfId="0" applyFont="1" applyFill="1" applyBorder="1" applyAlignment="1">
      <alignment vertical="top" wrapText="1"/>
    </xf>
    <xf numFmtId="0" fontId="25" fillId="27" borderId="19" xfId="0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2" fontId="3" fillId="0" borderId="28" xfId="0" applyNumberFormat="1" applyFont="1" applyBorder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24" fillId="0" borderId="19" xfId="0" applyFont="1" applyBorder="1" applyAlignment="1">
      <alignment horizontal="center" vertical="top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 2" xfId="50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8000000}"/>
    <cellStyle name="Normal 2 2" xfId="47" xr:uid="{00000000-0005-0000-0000-000029000000}"/>
    <cellStyle name="Normal 2 3" xfId="45" xr:uid="{00000000-0005-0000-0000-00002A000000}"/>
    <cellStyle name="Normal 2 3 2" xfId="52" xr:uid="{00000000-0005-0000-0000-00002B000000}"/>
    <cellStyle name="Normal 3" xfId="37" xr:uid="{00000000-0005-0000-0000-00002C000000}"/>
    <cellStyle name="Normal 4" xfId="43" xr:uid="{00000000-0005-0000-0000-00002D000000}"/>
    <cellStyle name="Normal 4 2" xfId="53" xr:uid="{00000000-0005-0000-0000-00002E000000}"/>
    <cellStyle name="Normal 4 3" xfId="51" xr:uid="{00000000-0005-0000-0000-00002F000000}"/>
    <cellStyle name="Normal 5" xfId="49" xr:uid="{00000000-0005-0000-0000-000030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1981200</xdr:colOff>
      <xdr:row>92</xdr:row>
      <xdr:rowOff>72838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003F67-868A-ED9E-8A5C-F283F5E44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676" y="21694588"/>
          <a:ext cx="1981200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1</xdr:row>
      <xdr:rowOff>11206</xdr:rowOff>
    </xdr:from>
    <xdr:to>
      <xdr:col>1</xdr:col>
      <xdr:colOff>3866028</xdr:colOff>
      <xdr:row>3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573DAC-DA9A-085D-2117-B04BFFC03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1" y="212912"/>
          <a:ext cx="3798793" cy="582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9"/>
  <sheetViews>
    <sheetView tabSelected="1" view="pageBreakPreview" zoomScale="85" zoomScaleNormal="85" zoomScaleSheetLayoutView="85" workbookViewId="0">
      <pane ySplit="6" topLeftCell="A7" activePane="bottomLeft" state="frozen"/>
      <selection pane="bottomLeft" activeCell="B1" sqref="B1:B4"/>
    </sheetView>
  </sheetViews>
  <sheetFormatPr defaultColWidth="9.6640625" defaultRowHeight="15.75" x14ac:dyDescent="0.2"/>
  <cols>
    <col min="1" max="1" width="6.109375" style="23" customWidth="1"/>
    <col min="2" max="2" width="46.5546875" style="67" customWidth="1"/>
    <col min="3" max="3" width="14" style="68" customWidth="1"/>
    <col min="4" max="4" width="6.44140625" style="68" customWidth="1"/>
    <col min="5" max="5" width="12.109375" style="68" customWidth="1"/>
    <col min="6" max="6" width="8.6640625" style="23" customWidth="1"/>
    <col min="7" max="7" width="10" style="67" customWidth="1"/>
    <col min="8" max="8" width="15.44140625" style="67" customWidth="1"/>
    <col min="9" max="9" width="22.5546875" style="66" customWidth="1"/>
    <col min="10" max="13" width="9.6640625" style="64"/>
    <col min="14" max="14" width="36.5546875" style="64" bestFit="1" customWidth="1"/>
    <col min="15" max="21" width="9.77734375" style="64" bestFit="1" customWidth="1"/>
    <col min="22" max="22" width="10.33203125" style="64" bestFit="1" customWidth="1"/>
    <col min="23" max="16384" width="9.6640625" style="64"/>
  </cols>
  <sheetData>
    <row r="1" spans="1:21" x14ac:dyDescent="0.2">
      <c r="A1" s="59"/>
      <c r="B1" s="170"/>
      <c r="C1" s="133"/>
      <c r="D1" s="133"/>
      <c r="E1" s="133"/>
      <c r="F1" s="133"/>
      <c r="G1" s="132"/>
      <c r="H1" s="134"/>
      <c r="I1" s="135"/>
    </row>
    <row r="2" spans="1:21" x14ac:dyDescent="0.2">
      <c r="A2" s="28"/>
      <c r="B2" s="171"/>
      <c r="C2" s="60"/>
      <c r="D2" s="61"/>
      <c r="E2" s="61"/>
      <c r="F2" s="61"/>
      <c r="G2" s="64"/>
      <c r="H2" s="64"/>
      <c r="I2" s="136"/>
    </row>
    <row r="3" spans="1:21" x14ac:dyDescent="0.2">
      <c r="A3" s="28"/>
      <c r="B3" s="171"/>
      <c r="C3" s="162"/>
      <c r="D3" s="162"/>
      <c r="E3" s="162"/>
      <c r="F3" s="162"/>
      <c r="G3" s="162"/>
      <c r="H3" s="162"/>
      <c r="I3" s="163"/>
      <c r="Q3" s="123"/>
      <c r="R3" s="124"/>
    </row>
    <row r="4" spans="1:21" ht="17.25" customHeight="1" x14ac:dyDescent="0.2">
      <c r="A4" s="28"/>
      <c r="B4" s="171"/>
      <c r="C4" s="137"/>
      <c r="D4" s="61"/>
      <c r="E4" s="61"/>
      <c r="G4" s="61"/>
      <c r="H4" s="60"/>
      <c r="I4" s="138"/>
    </row>
    <row r="5" spans="1:21" ht="39" customHeight="1" x14ac:dyDescent="0.2">
      <c r="A5" s="28"/>
      <c r="B5" s="142" t="s">
        <v>218</v>
      </c>
      <c r="F5" s="64"/>
      <c r="H5" s="69"/>
      <c r="I5" s="139"/>
    </row>
    <row r="6" spans="1:21" s="74" customFormat="1" ht="31.5" x14ac:dyDescent="0.2">
      <c r="A6" s="24" t="s">
        <v>5</v>
      </c>
      <c r="B6" s="71" t="s">
        <v>2</v>
      </c>
      <c r="C6" s="71" t="s">
        <v>8</v>
      </c>
      <c r="D6" s="71" t="s">
        <v>69</v>
      </c>
      <c r="E6" s="71" t="s">
        <v>70</v>
      </c>
      <c r="F6" s="72" t="s">
        <v>0</v>
      </c>
      <c r="G6" s="129" t="s">
        <v>98</v>
      </c>
      <c r="H6" s="71" t="s">
        <v>95</v>
      </c>
      <c r="I6" s="73" t="s">
        <v>4</v>
      </c>
      <c r="P6" s="125"/>
      <c r="Q6" s="125"/>
      <c r="R6" s="125"/>
      <c r="S6" s="125"/>
      <c r="T6" s="125"/>
      <c r="U6" s="122"/>
    </row>
    <row r="7" spans="1:21" s="148" customFormat="1" x14ac:dyDescent="0.2">
      <c r="A7" s="143" t="str">
        <f>IF(F7&lt;&gt;"",1+MAX(#REF!),"")</f>
        <v/>
      </c>
      <c r="B7" s="144" t="s">
        <v>102</v>
      </c>
      <c r="C7" s="145"/>
      <c r="D7" s="145"/>
      <c r="E7" s="145"/>
      <c r="F7" s="146"/>
      <c r="G7" s="144"/>
      <c r="H7" s="144"/>
      <c r="I7" s="147">
        <f>SUM(H8:H13)</f>
        <v>3083.85</v>
      </c>
    </row>
    <row r="8" spans="1:21" s="126" customFormat="1" x14ac:dyDescent="0.2">
      <c r="A8" s="28">
        <f>IF(F8&lt;&gt;"",1+MAX($A$7:A7),"")</f>
        <v>1</v>
      </c>
      <c r="B8" s="43" t="s">
        <v>119</v>
      </c>
      <c r="C8" s="96">
        <v>86.8</v>
      </c>
      <c r="D8" s="121">
        <v>0</v>
      </c>
      <c r="E8" s="96">
        <f t="shared" ref="E8:E10" si="0">C8*(1+D8)</f>
        <v>86.8</v>
      </c>
      <c r="F8" s="23" t="s">
        <v>21</v>
      </c>
      <c r="G8" s="128">
        <v>2</v>
      </c>
      <c r="H8" s="127">
        <f t="shared" ref="H8:H10" si="1">G8*E8</f>
        <v>173.6</v>
      </c>
      <c r="I8" s="130"/>
    </row>
    <row r="9" spans="1:21" s="126" customFormat="1" x14ac:dyDescent="0.2">
      <c r="A9" s="28">
        <f>IF(F9&lt;&gt;"",1+MAX($A$7:A8),"")</f>
        <v>2</v>
      </c>
      <c r="B9" s="43" t="s">
        <v>131</v>
      </c>
      <c r="C9" s="96">
        <v>262.10000000000002</v>
      </c>
      <c r="D9" s="121">
        <v>0</v>
      </c>
      <c r="E9" s="96">
        <f t="shared" ref="E9" si="2">C9*(1+D9)</f>
        <v>262.10000000000002</v>
      </c>
      <c r="F9" s="23" t="s">
        <v>21</v>
      </c>
      <c r="G9" s="128">
        <v>2.5</v>
      </c>
      <c r="H9" s="127">
        <f t="shared" ref="H9" si="3">G9*E9</f>
        <v>655.25</v>
      </c>
      <c r="I9" s="130"/>
    </row>
    <row r="10" spans="1:21" s="126" customFormat="1" x14ac:dyDescent="0.2">
      <c r="A10" s="28">
        <f>IF(F10&lt;&gt;"",1+MAX($A$7:A9),"")</f>
        <v>3</v>
      </c>
      <c r="B10" s="43" t="s">
        <v>120</v>
      </c>
      <c r="C10" s="96">
        <v>1</v>
      </c>
      <c r="D10" s="121">
        <v>0</v>
      </c>
      <c r="E10" s="96">
        <f t="shared" si="0"/>
        <v>1</v>
      </c>
      <c r="F10" s="23" t="s">
        <v>101</v>
      </c>
      <c r="G10" s="128">
        <v>75</v>
      </c>
      <c r="H10" s="127">
        <f t="shared" si="1"/>
        <v>75</v>
      </c>
      <c r="I10" s="130"/>
    </row>
    <row r="11" spans="1:21" s="126" customFormat="1" x14ac:dyDescent="0.2">
      <c r="A11" s="28">
        <f>IF(F11&lt;&gt;"",1+MAX($A$7:A10),"")</f>
        <v>4</v>
      </c>
      <c r="B11" s="43" t="s">
        <v>103</v>
      </c>
      <c r="C11" s="96">
        <v>2</v>
      </c>
      <c r="D11" s="121">
        <v>0</v>
      </c>
      <c r="E11" s="96">
        <f t="shared" ref="E11" si="4">C11*(1+D11)</f>
        <v>2</v>
      </c>
      <c r="F11" s="23" t="s">
        <v>101</v>
      </c>
      <c r="G11" s="128">
        <v>65</v>
      </c>
      <c r="H11" s="127">
        <f t="shared" ref="H11" si="5">G11*E11</f>
        <v>130</v>
      </c>
      <c r="I11" s="130"/>
    </row>
    <row r="12" spans="1:21" s="126" customFormat="1" x14ac:dyDescent="0.2">
      <c r="A12" s="28">
        <f>IF(F12&lt;&gt;"",1+MAX($A$7:A11),"")</f>
        <v>5</v>
      </c>
      <c r="B12" s="42" t="s">
        <v>130</v>
      </c>
      <c r="C12" s="96">
        <v>16</v>
      </c>
      <c r="D12" s="121">
        <v>0</v>
      </c>
      <c r="E12" s="96">
        <f t="shared" ref="E12:E13" si="6">C12*(1+D12)</f>
        <v>16</v>
      </c>
      <c r="F12" s="23" t="s">
        <v>112</v>
      </c>
      <c r="G12" s="128">
        <v>100</v>
      </c>
      <c r="H12" s="127">
        <f t="shared" ref="H12:H13" si="7">G12*E12</f>
        <v>1600</v>
      </c>
      <c r="I12" s="130"/>
      <c r="J12" s="63"/>
      <c r="K12" s="63"/>
    </row>
    <row r="13" spans="1:21" s="126" customFormat="1" x14ac:dyDescent="0.2">
      <c r="A13" s="28">
        <f>IF(F13&lt;&gt;"",1+MAX($A$7:A12),"")</f>
        <v>6</v>
      </c>
      <c r="B13" s="42" t="s">
        <v>121</v>
      </c>
      <c r="C13" s="96">
        <v>3</v>
      </c>
      <c r="D13" s="121">
        <v>0</v>
      </c>
      <c r="E13" s="96">
        <f t="shared" si="6"/>
        <v>3</v>
      </c>
      <c r="F13" s="23" t="s">
        <v>101</v>
      </c>
      <c r="G13" s="128">
        <v>150</v>
      </c>
      <c r="H13" s="127">
        <f t="shared" si="7"/>
        <v>450</v>
      </c>
      <c r="I13" s="130"/>
      <c r="J13" s="63"/>
      <c r="K13" s="63"/>
    </row>
    <row r="14" spans="1:21" s="126" customFormat="1" x14ac:dyDescent="0.2">
      <c r="A14" s="143" t="str">
        <f>IF(F14&lt;&gt;"",1+MAX($A$7:A13),"")</f>
        <v/>
      </c>
      <c r="B14" s="144" t="s">
        <v>110</v>
      </c>
      <c r="C14" s="145"/>
      <c r="D14" s="145"/>
      <c r="E14" s="145"/>
      <c r="F14" s="146"/>
      <c r="G14" s="144"/>
      <c r="H14" s="144"/>
      <c r="I14" s="147">
        <f>SUM(H15:H18)</f>
        <v>10000.792592592592</v>
      </c>
    </row>
    <row r="15" spans="1:21" s="126" customFormat="1" x14ac:dyDescent="0.2">
      <c r="A15" s="28">
        <f>IF(F15&lt;&gt;"",1+MAX($A$7:A14),"")</f>
        <v>7</v>
      </c>
      <c r="B15" s="42" t="s">
        <v>157</v>
      </c>
      <c r="C15" s="96">
        <v>330</v>
      </c>
      <c r="D15" s="121">
        <v>0.1</v>
      </c>
      <c r="E15" s="96">
        <f t="shared" ref="E15" si="8">C15*(1+D15)</f>
        <v>363.00000000000006</v>
      </c>
      <c r="F15" s="23" t="s">
        <v>21</v>
      </c>
      <c r="G15" s="131">
        <v>7</v>
      </c>
      <c r="H15" s="127">
        <f t="shared" ref="H15" si="9">G15*E15</f>
        <v>2541.0000000000005</v>
      </c>
      <c r="I15" s="130"/>
      <c r="J15" s="63"/>
      <c r="K15" s="63"/>
    </row>
    <row r="16" spans="1:21" s="126" customFormat="1" ht="31.5" x14ac:dyDescent="0.2">
      <c r="A16" s="28">
        <f>IF(F16&lt;&gt;"",1+MAX($A$7:A15),"")</f>
        <v>8</v>
      </c>
      <c r="B16" s="42" t="s">
        <v>159</v>
      </c>
      <c r="C16" s="141">
        <f>145/27</f>
        <v>5.3703703703703702</v>
      </c>
      <c r="D16" s="121">
        <v>0.1</v>
      </c>
      <c r="E16" s="141">
        <f t="shared" ref="E16:E17" si="10">C16*(1+D16)</f>
        <v>5.9074074074074074</v>
      </c>
      <c r="F16" s="23" t="s">
        <v>111</v>
      </c>
      <c r="G16" s="131">
        <v>620</v>
      </c>
      <c r="H16" s="127">
        <f t="shared" ref="H16:H17" si="11">G16*E16</f>
        <v>3662.5925925925926</v>
      </c>
      <c r="I16" s="130"/>
      <c r="J16" s="63"/>
      <c r="K16" s="63"/>
    </row>
    <row r="17" spans="1:11" s="126" customFormat="1" x14ac:dyDescent="0.2">
      <c r="A17" s="28">
        <f>IF(F17&lt;&gt;"",1+MAX($A$7:A16),"")</f>
        <v>9</v>
      </c>
      <c r="B17" s="42" t="s">
        <v>158</v>
      </c>
      <c r="C17" s="96">
        <v>209</v>
      </c>
      <c r="D17" s="121">
        <v>0.1</v>
      </c>
      <c r="E17" s="96">
        <f t="shared" si="10"/>
        <v>229.9</v>
      </c>
      <c r="F17" s="23" t="s">
        <v>21</v>
      </c>
      <c r="G17" s="131">
        <v>16</v>
      </c>
      <c r="H17" s="127">
        <f t="shared" si="11"/>
        <v>3678.4</v>
      </c>
      <c r="I17" s="130"/>
      <c r="J17" s="63"/>
      <c r="K17" s="63"/>
    </row>
    <row r="18" spans="1:11" s="126" customFormat="1" x14ac:dyDescent="0.2">
      <c r="A18" s="28">
        <f>IF(F18&lt;&gt;"",1+MAX($A$7:A17),"")</f>
        <v>10</v>
      </c>
      <c r="B18" s="42" t="s">
        <v>160</v>
      </c>
      <c r="C18" s="96">
        <v>18</v>
      </c>
      <c r="D18" s="121">
        <v>0.1</v>
      </c>
      <c r="E18" s="96">
        <f t="shared" ref="E18" si="12">C18*(1+D18)</f>
        <v>19.8</v>
      </c>
      <c r="F18" s="23" t="s">
        <v>21</v>
      </c>
      <c r="G18" s="131">
        <v>6</v>
      </c>
      <c r="H18" s="127">
        <f t="shared" ref="H18" si="13">G18*E18</f>
        <v>118.80000000000001</v>
      </c>
      <c r="I18" s="130"/>
      <c r="J18" s="63"/>
      <c r="K18" s="63"/>
    </row>
    <row r="19" spans="1:11" s="126" customFormat="1" x14ac:dyDescent="0.2">
      <c r="A19" s="143" t="str">
        <f>IF(F19&lt;&gt;"",1+MAX($A$7:A18),"")</f>
        <v/>
      </c>
      <c r="B19" s="144" t="s">
        <v>113</v>
      </c>
      <c r="C19" s="145"/>
      <c r="D19" s="145"/>
      <c r="E19" s="145"/>
      <c r="F19" s="146"/>
      <c r="G19" s="144"/>
      <c r="H19" s="144"/>
      <c r="I19" s="147">
        <f>SUM(H20:H21)</f>
        <v>4501.5</v>
      </c>
    </row>
    <row r="20" spans="1:11" s="126" customFormat="1" x14ac:dyDescent="0.2">
      <c r="A20" s="28">
        <f>IF(F20&lt;&gt;"",1+MAX($A$7:A19),"")</f>
        <v>11</v>
      </c>
      <c r="B20" s="42" t="s">
        <v>161</v>
      </c>
      <c r="C20" s="96">
        <v>21</v>
      </c>
      <c r="D20" s="121">
        <v>0.1</v>
      </c>
      <c r="E20" s="96">
        <f t="shared" ref="E20:E21" si="14">C20*(1+D20)</f>
        <v>23.1</v>
      </c>
      <c r="F20" s="23" t="s">
        <v>97</v>
      </c>
      <c r="G20" s="131">
        <v>65</v>
      </c>
      <c r="H20" s="127">
        <f t="shared" ref="H20:H21" si="15">G20*E20</f>
        <v>1501.5</v>
      </c>
      <c r="I20" s="130"/>
      <c r="J20" s="63"/>
      <c r="K20" s="63"/>
    </row>
    <row r="21" spans="1:11" s="126" customFormat="1" x14ac:dyDescent="0.2">
      <c r="A21" s="28">
        <f>IF(F21&lt;&gt;"",1+MAX($A$7:A20),"")</f>
        <v>12</v>
      </c>
      <c r="B21" s="42" t="s">
        <v>162</v>
      </c>
      <c r="C21" s="96">
        <v>24</v>
      </c>
      <c r="D21" s="121">
        <v>0</v>
      </c>
      <c r="E21" s="96">
        <f t="shared" si="14"/>
        <v>24</v>
      </c>
      <c r="F21" s="23" t="s">
        <v>101</v>
      </c>
      <c r="G21" s="131">
        <v>125</v>
      </c>
      <c r="H21" s="127">
        <f t="shared" si="15"/>
        <v>3000</v>
      </c>
      <c r="I21" s="130"/>
      <c r="J21" s="63"/>
      <c r="K21" s="63"/>
    </row>
    <row r="22" spans="1:11" s="126" customFormat="1" x14ac:dyDescent="0.2">
      <c r="A22" s="143" t="str">
        <f>IF(F22&lt;&gt;"",1+MAX($A$7:A21),"")</f>
        <v/>
      </c>
      <c r="B22" s="144" t="s">
        <v>114</v>
      </c>
      <c r="C22" s="145"/>
      <c r="D22" s="145"/>
      <c r="E22" s="145"/>
      <c r="F22" s="146"/>
      <c r="G22" s="144"/>
      <c r="H22" s="144"/>
      <c r="I22" s="147">
        <f>SUM(H23:H47)</f>
        <v>29131.531000000003</v>
      </c>
    </row>
    <row r="23" spans="1:11" s="126" customFormat="1" x14ac:dyDescent="0.2">
      <c r="A23" s="28">
        <f>IF(F23&lt;&gt;"",1+MAX($A$7:A22),"")</f>
        <v>13</v>
      </c>
      <c r="B23" s="42" t="s">
        <v>155</v>
      </c>
      <c r="C23" s="96">
        <v>164</v>
      </c>
      <c r="D23" s="121">
        <v>0.1</v>
      </c>
      <c r="E23" s="96">
        <f>C23*(1+D23)</f>
        <v>180.4</v>
      </c>
      <c r="F23" s="23" t="s">
        <v>21</v>
      </c>
      <c r="G23" s="131">
        <v>6</v>
      </c>
      <c r="H23" s="127">
        <f>G23*E23</f>
        <v>1082.4000000000001</v>
      </c>
      <c r="I23" s="130"/>
      <c r="J23" s="63"/>
      <c r="K23" s="63"/>
    </row>
    <row r="24" spans="1:11" s="126" customFormat="1" x14ac:dyDescent="0.2">
      <c r="A24" s="28">
        <f>IF(F24&lt;&gt;"",1+MAX($A$7:A23),"")</f>
        <v>14</v>
      </c>
      <c r="B24" s="42" t="s">
        <v>163</v>
      </c>
      <c r="C24" s="96">
        <v>122</v>
      </c>
      <c r="D24" s="121">
        <v>0.1</v>
      </c>
      <c r="E24" s="96">
        <f t="shared" ref="E24:E26" si="16">C24*(1+D24)</f>
        <v>134.20000000000002</v>
      </c>
      <c r="F24" s="23" t="s">
        <v>21</v>
      </c>
      <c r="G24" s="131">
        <v>6</v>
      </c>
      <c r="H24" s="127">
        <f t="shared" ref="H24:H26" si="17">G24*E24</f>
        <v>805.2</v>
      </c>
      <c r="I24" s="130"/>
      <c r="J24" s="63"/>
      <c r="K24" s="63"/>
    </row>
    <row r="25" spans="1:11" s="126" customFormat="1" x14ac:dyDescent="0.2">
      <c r="A25" s="28">
        <f>IF(F25&lt;&gt;"",1+MAX($A$7:A24),"")</f>
        <v>15</v>
      </c>
      <c r="B25" s="42" t="s">
        <v>164</v>
      </c>
      <c r="C25" s="96">
        <v>216</v>
      </c>
      <c r="D25" s="121">
        <v>0.1</v>
      </c>
      <c r="E25" s="96">
        <f t="shared" si="16"/>
        <v>237.60000000000002</v>
      </c>
      <c r="F25" s="23" t="s">
        <v>21</v>
      </c>
      <c r="G25" s="131">
        <v>5</v>
      </c>
      <c r="H25" s="127">
        <f t="shared" si="17"/>
        <v>1188</v>
      </c>
      <c r="I25" s="130"/>
      <c r="J25" s="63"/>
      <c r="K25" s="63"/>
    </row>
    <row r="26" spans="1:11" s="126" customFormat="1" x14ac:dyDescent="0.2">
      <c r="A26" s="28">
        <f>IF(F26&lt;&gt;"",1+MAX($A$7:A25),"")</f>
        <v>16</v>
      </c>
      <c r="B26" s="42" t="s">
        <v>165</v>
      </c>
      <c r="C26" s="96">
        <v>157</v>
      </c>
      <c r="D26" s="121">
        <v>0.1</v>
      </c>
      <c r="E26" s="96">
        <f t="shared" si="16"/>
        <v>172.70000000000002</v>
      </c>
      <c r="F26" s="23" t="s">
        <v>21</v>
      </c>
      <c r="G26" s="131">
        <v>12</v>
      </c>
      <c r="H26" s="127">
        <f t="shared" si="17"/>
        <v>2072.4</v>
      </c>
      <c r="I26" s="130"/>
      <c r="J26" s="63"/>
      <c r="K26" s="63"/>
    </row>
    <row r="27" spans="1:11" s="126" customFormat="1" x14ac:dyDescent="0.2">
      <c r="A27" s="28">
        <f>IF(F27&lt;&gt;"",1+MAX($A$7:A26),"")</f>
        <v>17</v>
      </c>
      <c r="B27" s="42" t="s">
        <v>166</v>
      </c>
      <c r="C27" s="96">
        <v>354</v>
      </c>
      <c r="D27" s="121">
        <v>0.1</v>
      </c>
      <c r="E27" s="96">
        <f t="shared" ref="E27:E28" si="18">C27*(1+D27)</f>
        <v>389.40000000000003</v>
      </c>
      <c r="F27" s="23" t="s">
        <v>21</v>
      </c>
      <c r="G27" s="131">
        <v>6</v>
      </c>
      <c r="H27" s="127">
        <f t="shared" ref="H27:H28" si="19">G27*E27</f>
        <v>2336.4</v>
      </c>
      <c r="I27" s="130"/>
      <c r="J27" s="63"/>
      <c r="K27" s="63"/>
    </row>
    <row r="28" spans="1:11" s="126" customFormat="1" x14ac:dyDescent="0.2">
      <c r="A28" s="28">
        <f>IF(F28&lt;&gt;"",1+MAX($A$7:A27),"")</f>
        <v>18</v>
      </c>
      <c r="B28" s="42" t="s">
        <v>167</v>
      </c>
      <c r="C28" s="96">
        <v>54</v>
      </c>
      <c r="D28" s="121">
        <v>0.1</v>
      </c>
      <c r="E28" s="96">
        <f t="shared" si="18"/>
        <v>59.400000000000006</v>
      </c>
      <c r="F28" s="23" t="s">
        <v>21</v>
      </c>
      <c r="G28" s="131">
        <v>7</v>
      </c>
      <c r="H28" s="127">
        <f t="shared" si="19"/>
        <v>415.80000000000007</v>
      </c>
      <c r="I28" s="130"/>
      <c r="J28" s="63"/>
      <c r="K28" s="63"/>
    </row>
    <row r="29" spans="1:11" s="126" customFormat="1" x14ac:dyDescent="0.2">
      <c r="A29" s="28">
        <f>IF(F29&lt;&gt;"",1+MAX($A$7:A28),"")</f>
        <v>19</v>
      </c>
      <c r="B29" s="42" t="s">
        <v>168</v>
      </c>
      <c r="C29" s="96">
        <v>501</v>
      </c>
      <c r="D29" s="121">
        <v>0.1</v>
      </c>
      <c r="E29" s="96">
        <f t="shared" ref="E29:E33" si="20">C29*(1+D29)</f>
        <v>551.1</v>
      </c>
      <c r="F29" s="23" t="s">
        <v>21</v>
      </c>
      <c r="G29" s="131">
        <v>6.5</v>
      </c>
      <c r="H29" s="127">
        <f t="shared" ref="H29:H33" si="21">G29*E29</f>
        <v>3582.15</v>
      </c>
      <c r="I29" s="130"/>
      <c r="J29" s="63"/>
      <c r="K29" s="63"/>
    </row>
    <row r="30" spans="1:11" s="126" customFormat="1" x14ac:dyDescent="0.2">
      <c r="A30" s="28">
        <f>IF(F30&lt;&gt;"",1+MAX($A$7:A29),"")</f>
        <v>20</v>
      </c>
      <c r="B30" s="42" t="s">
        <v>169</v>
      </c>
      <c r="C30" s="96">
        <v>15</v>
      </c>
      <c r="D30" s="121">
        <v>0.1</v>
      </c>
      <c r="E30" s="96">
        <f t="shared" si="20"/>
        <v>16.5</v>
      </c>
      <c r="F30" s="23" t="s">
        <v>21</v>
      </c>
      <c r="G30" s="131">
        <v>6</v>
      </c>
      <c r="H30" s="127">
        <f t="shared" si="21"/>
        <v>99</v>
      </c>
      <c r="I30" s="130"/>
      <c r="J30" s="63"/>
      <c r="K30" s="63"/>
    </row>
    <row r="31" spans="1:11" s="126" customFormat="1" x14ac:dyDescent="0.2">
      <c r="A31" s="28">
        <f>IF(F31&lt;&gt;"",1+MAX($A$7:A30),"")</f>
        <v>21</v>
      </c>
      <c r="B31" s="42" t="s">
        <v>170</v>
      </c>
      <c r="C31" s="96">
        <v>6.53</v>
      </c>
      <c r="D31" s="121">
        <v>0.1</v>
      </c>
      <c r="E31" s="96">
        <f t="shared" si="20"/>
        <v>7.1830000000000007</v>
      </c>
      <c r="F31" s="23" t="s">
        <v>97</v>
      </c>
      <c r="G31" s="131">
        <v>5</v>
      </c>
      <c r="H31" s="127">
        <f t="shared" si="21"/>
        <v>35.915000000000006</v>
      </c>
      <c r="I31" s="130"/>
      <c r="J31" s="63"/>
      <c r="K31" s="63"/>
    </row>
    <row r="32" spans="1:11" s="126" customFormat="1" x14ac:dyDescent="0.2">
      <c r="A32" s="28">
        <f>IF(F32&lt;&gt;"",1+MAX($A$7:A31),"")</f>
        <v>22</v>
      </c>
      <c r="B32" s="42" t="s">
        <v>171</v>
      </c>
      <c r="C32" s="96">
        <f>15*20</f>
        <v>300</v>
      </c>
      <c r="D32" s="121">
        <v>0.1</v>
      </c>
      <c r="E32" s="96">
        <f t="shared" si="20"/>
        <v>330</v>
      </c>
      <c r="F32" s="23" t="s">
        <v>97</v>
      </c>
      <c r="G32" s="131">
        <v>4.5</v>
      </c>
      <c r="H32" s="127">
        <f t="shared" si="21"/>
        <v>1485</v>
      </c>
      <c r="I32" s="130"/>
      <c r="J32" s="63"/>
      <c r="K32" s="63"/>
    </row>
    <row r="33" spans="1:11" s="126" customFormat="1" x14ac:dyDescent="0.2">
      <c r="A33" s="28">
        <f>IF(F33&lt;&gt;"",1+MAX($A$7:A32),"")</f>
        <v>23</v>
      </c>
      <c r="B33" s="42" t="s">
        <v>172</v>
      </c>
      <c r="C33" s="96">
        <v>34.44</v>
      </c>
      <c r="D33" s="121">
        <v>0.1</v>
      </c>
      <c r="E33" s="96">
        <f t="shared" si="20"/>
        <v>37.884</v>
      </c>
      <c r="F33" s="23" t="s">
        <v>97</v>
      </c>
      <c r="G33" s="131">
        <v>5</v>
      </c>
      <c r="H33" s="127">
        <f t="shared" si="21"/>
        <v>189.42000000000002</v>
      </c>
      <c r="I33" s="130"/>
      <c r="J33" s="63"/>
      <c r="K33" s="63"/>
    </row>
    <row r="34" spans="1:11" s="126" customFormat="1" x14ac:dyDescent="0.2">
      <c r="A34" s="28">
        <f>IF(F34&lt;&gt;"",1+MAX($A$7:A33),"")</f>
        <v>24</v>
      </c>
      <c r="B34" s="42" t="s">
        <v>173</v>
      </c>
      <c r="C34" s="96">
        <f>9*20</f>
        <v>180</v>
      </c>
      <c r="D34" s="121">
        <v>0.1</v>
      </c>
      <c r="E34" s="96">
        <f t="shared" ref="E34:E43" si="22">C34*(1+D34)</f>
        <v>198.00000000000003</v>
      </c>
      <c r="F34" s="23" t="s">
        <v>97</v>
      </c>
      <c r="G34" s="131">
        <v>5</v>
      </c>
      <c r="H34" s="127">
        <f t="shared" ref="H34:H43" si="23">G34*E34</f>
        <v>990.00000000000011</v>
      </c>
      <c r="I34" s="130"/>
      <c r="J34" s="63"/>
      <c r="K34" s="63"/>
    </row>
    <row r="35" spans="1:11" s="126" customFormat="1" x14ac:dyDescent="0.2">
      <c r="A35" s="28">
        <f>IF(F35&lt;&gt;"",1+MAX($A$7:A34),"")</f>
        <v>25</v>
      </c>
      <c r="B35" s="42" t="s">
        <v>174</v>
      </c>
      <c r="C35" s="96">
        <v>95.2</v>
      </c>
      <c r="D35" s="121">
        <v>0.1</v>
      </c>
      <c r="E35" s="96">
        <f t="shared" si="22"/>
        <v>104.72000000000001</v>
      </c>
      <c r="F35" s="23" t="s">
        <v>97</v>
      </c>
      <c r="G35" s="131">
        <v>8</v>
      </c>
      <c r="H35" s="127">
        <f t="shared" si="23"/>
        <v>837.7600000000001</v>
      </c>
      <c r="I35" s="130"/>
      <c r="J35" s="63"/>
      <c r="K35" s="63"/>
    </row>
    <row r="36" spans="1:11" s="126" customFormat="1" x14ac:dyDescent="0.2">
      <c r="A36" s="28">
        <f>IF(F36&lt;&gt;"",1+MAX($A$7:A35),"")</f>
        <v>26</v>
      </c>
      <c r="B36" s="42" t="s">
        <v>175</v>
      </c>
      <c r="C36" s="96">
        <v>39.15</v>
      </c>
      <c r="D36" s="121">
        <v>0.1</v>
      </c>
      <c r="E36" s="96">
        <f t="shared" si="22"/>
        <v>43.065000000000005</v>
      </c>
      <c r="F36" s="23" t="s">
        <v>97</v>
      </c>
      <c r="G36" s="131">
        <v>9</v>
      </c>
      <c r="H36" s="127">
        <f t="shared" si="23"/>
        <v>387.58500000000004</v>
      </c>
      <c r="I36" s="130"/>
      <c r="J36" s="63"/>
      <c r="K36" s="63"/>
    </row>
    <row r="37" spans="1:11" s="126" customFormat="1" x14ac:dyDescent="0.2">
      <c r="A37" s="28">
        <f>IF(F37&lt;&gt;"",1+MAX($A$7:A36),"")</f>
        <v>27</v>
      </c>
      <c r="B37" s="42" t="s">
        <v>176</v>
      </c>
      <c r="C37" s="96">
        <v>22.42</v>
      </c>
      <c r="D37" s="121">
        <v>0.1</v>
      </c>
      <c r="E37" s="96">
        <f t="shared" si="22"/>
        <v>24.662000000000003</v>
      </c>
      <c r="F37" s="23" t="s">
        <v>97</v>
      </c>
      <c r="G37" s="131">
        <v>5</v>
      </c>
      <c r="H37" s="127">
        <f t="shared" si="23"/>
        <v>123.31000000000002</v>
      </c>
      <c r="I37" s="130"/>
      <c r="J37" s="63"/>
      <c r="K37" s="63"/>
    </row>
    <row r="38" spans="1:11" s="126" customFormat="1" x14ac:dyDescent="0.2">
      <c r="A38" s="28">
        <f>IF(F38&lt;&gt;"",1+MAX($A$7:A37),"")</f>
        <v>28</v>
      </c>
      <c r="B38" s="42" t="s">
        <v>177</v>
      </c>
      <c r="C38" s="96">
        <v>14.06</v>
      </c>
      <c r="D38" s="121">
        <v>0.1</v>
      </c>
      <c r="E38" s="96">
        <f t="shared" si="22"/>
        <v>15.466000000000001</v>
      </c>
      <c r="F38" s="23" t="s">
        <v>97</v>
      </c>
      <c r="G38" s="131">
        <v>6</v>
      </c>
      <c r="H38" s="127">
        <f t="shared" si="23"/>
        <v>92.796000000000006</v>
      </c>
      <c r="I38" s="130"/>
      <c r="J38" s="63"/>
      <c r="K38" s="63"/>
    </row>
    <row r="39" spans="1:11" s="126" customFormat="1" x14ac:dyDescent="0.2">
      <c r="A39" s="28">
        <f>IF(F39&lt;&gt;"",1+MAX($A$7:A38),"")</f>
        <v>29</v>
      </c>
      <c r="B39" s="42" t="s">
        <v>178</v>
      </c>
      <c r="C39" s="96">
        <v>6.65</v>
      </c>
      <c r="D39" s="121">
        <v>0.1</v>
      </c>
      <c r="E39" s="96">
        <f t="shared" si="22"/>
        <v>7.3150000000000013</v>
      </c>
      <c r="F39" s="23" t="s">
        <v>97</v>
      </c>
      <c r="G39" s="131">
        <v>8</v>
      </c>
      <c r="H39" s="127">
        <f t="shared" si="23"/>
        <v>58.52000000000001</v>
      </c>
      <c r="I39" s="130"/>
      <c r="J39" s="63"/>
      <c r="K39" s="63"/>
    </row>
    <row r="40" spans="1:11" s="126" customFormat="1" x14ac:dyDescent="0.2">
      <c r="A40" s="28">
        <f>IF(F40&lt;&gt;"",1+MAX($A$7:A39),"")</f>
        <v>30</v>
      </c>
      <c r="B40" s="42" t="s">
        <v>179</v>
      </c>
      <c r="C40" s="96">
        <v>16</v>
      </c>
      <c r="D40" s="121">
        <v>0.1</v>
      </c>
      <c r="E40" s="96">
        <f t="shared" si="22"/>
        <v>17.600000000000001</v>
      </c>
      <c r="F40" s="23" t="s">
        <v>112</v>
      </c>
      <c r="G40" s="131">
        <v>70</v>
      </c>
      <c r="H40" s="127">
        <f t="shared" si="23"/>
        <v>1232</v>
      </c>
      <c r="I40" s="130"/>
      <c r="J40" s="63"/>
      <c r="K40" s="63"/>
    </row>
    <row r="41" spans="1:11" s="126" customFormat="1" x14ac:dyDescent="0.2">
      <c r="A41" s="28">
        <f>IF(F41&lt;&gt;"",1+MAX($A$7:A40),"")</f>
        <v>31</v>
      </c>
      <c r="B41" s="42" t="s">
        <v>180</v>
      </c>
      <c r="C41" s="96">
        <v>827.5</v>
      </c>
      <c r="D41" s="121">
        <v>0.1</v>
      </c>
      <c r="E41" s="96">
        <f t="shared" si="22"/>
        <v>910.25000000000011</v>
      </c>
      <c r="F41" s="23" t="s">
        <v>21</v>
      </c>
      <c r="G41" s="131">
        <v>4.5</v>
      </c>
      <c r="H41" s="127">
        <f t="shared" si="23"/>
        <v>4096.1250000000009</v>
      </c>
      <c r="I41" s="130"/>
      <c r="J41" s="63"/>
      <c r="K41" s="63"/>
    </row>
    <row r="42" spans="1:11" s="126" customFormat="1" x14ac:dyDescent="0.2">
      <c r="A42" s="28">
        <f>IF(F42&lt;&gt;"",1+MAX($A$7:A41),"")</f>
        <v>32</v>
      </c>
      <c r="B42" s="42" t="s">
        <v>181</v>
      </c>
      <c r="C42" s="96">
        <v>467.5</v>
      </c>
      <c r="D42" s="121">
        <v>0.1</v>
      </c>
      <c r="E42" s="96">
        <f t="shared" si="22"/>
        <v>514.25</v>
      </c>
      <c r="F42" s="23" t="s">
        <v>21</v>
      </c>
      <c r="G42" s="131">
        <v>5</v>
      </c>
      <c r="H42" s="127">
        <f t="shared" si="23"/>
        <v>2571.25</v>
      </c>
      <c r="I42" s="130"/>
      <c r="J42" s="63"/>
      <c r="K42" s="63"/>
    </row>
    <row r="43" spans="1:11" s="126" customFormat="1" x14ac:dyDescent="0.2">
      <c r="A43" s="28">
        <f>IF(F43&lt;&gt;"",1+MAX($A$7:A42),"")</f>
        <v>33</v>
      </c>
      <c r="B43" s="42" t="s">
        <v>182</v>
      </c>
      <c r="C43" s="96">
        <v>26</v>
      </c>
      <c r="D43" s="121">
        <v>0.1</v>
      </c>
      <c r="E43" s="96">
        <f t="shared" si="22"/>
        <v>28.6</v>
      </c>
      <c r="F43" s="23" t="s">
        <v>123</v>
      </c>
      <c r="G43" s="131">
        <v>75</v>
      </c>
      <c r="H43" s="127">
        <f t="shared" si="23"/>
        <v>2145</v>
      </c>
      <c r="I43" s="130"/>
      <c r="J43" s="63"/>
      <c r="K43" s="63"/>
    </row>
    <row r="44" spans="1:11" s="126" customFormat="1" x14ac:dyDescent="0.2">
      <c r="A44" s="28">
        <f>IF(F44&lt;&gt;"",1+MAX($A$7:A43),"")</f>
        <v>34</v>
      </c>
      <c r="B44" s="42" t="s">
        <v>189</v>
      </c>
      <c r="C44" s="96">
        <v>164</v>
      </c>
      <c r="D44" s="121">
        <v>0.1</v>
      </c>
      <c r="E44" s="96">
        <f t="shared" ref="E44" si="24">C44*(1+D44)</f>
        <v>180.4</v>
      </c>
      <c r="F44" s="23" t="s">
        <v>97</v>
      </c>
      <c r="G44" s="131">
        <v>5</v>
      </c>
      <c r="H44" s="127">
        <f t="shared" ref="H44" si="25">G44*E44</f>
        <v>902</v>
      </c>
      <c r="I44" s="130"/>
      <c r="J44" s="63"/>
      <c r="K44" s="63"/>
    </row>
    <row r="45" spans="1:11" s="126" customFormat="1" x14ac:dyDescent="0.2">
      <c r="A45" s="28" t="str">
        <f>IF(F45&lt;&gt;"",1+MAX($A$7:A44),"")</f>
        <v/>
      </c>
      <c r="B45" s="164" t="s">
        <v>183</v>
      </c>
      <c r="C45" s="96"/>
      <c r="D45" s="121"/>
      <c r="E45" s="96"/>
      <c r="F45" s="23"/>
      <c r="G45" s="131"/>
      <c r="H45" s="127"/>
      <c r="I45" s="130"/>
      <c r="J45" s="63"/>
      <c r="K45" s="63"/>
    </row>
    <row r="46" spans="1:11" s="126" customFormat="1" x14ac:dyDescent="0.2">
      <c r="A46" s="28">
        <f>IF(F46&lt;&gt;"",1+MAX($A$7:A45),"")</f>
        <v>35</v>
      </c>
      <c r="B46" s="42" t="s">
        <v>184</v>
      </c>
      <c r="C46" s="96">
        <v>13</v>
      </c>
      <c r="D46" s="121">
        <v>0.1</v>
      </c>
      <c r="E46" s="96">
        <f t="shared" ref="E46:E47" si="26">C46*(1+D46)</f>
        <v>14.3</v>
      </c>
      <c r="F46" s="23" t="s">
        <v>21</v>
      </c>
      <c r="G46" s="131">
        <v>75</v>
      </c>
      <c r="H46" s="127">
        <f t="shared" ref="H46:H47" si="27">G46*E46</f>
        <v>1072.5</v>
      </c>
      <c r="I46" s="130"/>
      <c r="J46" s="63"/>
      <c r="K46" s="63"/>
    </row>
    <row r="47" spans="1:11" s="126" customFormat="1" x14ac:dyDescent="0.2">
      <c r="A47" s="28">
        <f>IF(F47&lt;&gt;"",1+MAX($A$7:A46),"")</f>
        <v>36</v>
      </c>
      <c r="B47" s="42" t="s">
        <v>185</v>
      </c>
      <c r="C47" s="96">
        <v>5.5</v>
      </c>
      <c r="D47" s="121">
        <v>0.1</v>
      </c>
      <c r="E47" s="96">
        <f t="shared" si="26"/>
        <v>6.0500000000000007</v>
      </c>
      <c r="F47" s="23" t="s">
        <v>97</v>
      </c>
      <c r="G47" s="131">
        <v>220</v>
      </c>
      <c r="H47" s="127">
        <f t="shared" si="27"/>
        <v>1331.0000000000002</v>
      </c>
      <c r="I47" s="130"/>
      <c r="J47" s="63"/>
      <c r="K47" s="63"/>
    </row>
    <row r="48" spans="1:11" s="126" customFormat="1" x14ac:dyDescent="0.2">
      <c r="A48" s="143" t="str">
        <f>IF(F48&lt;&gt;"",1+MAX($A$7:A47),"")</f>
        <v/>
      </c>
      <c r="B48" s="144" t="s">
        <v>122</v>
      </c>
      <c r="C48" s="145"/>
      <c r="D48" s="145"/>
      <c r="E48" s="145"/>
      <c r="F48" s="146"/>
      <c r="G48" s="144"/>
      <c r="H48" s="144"/>
      <c r="I48" s="147">
        <f>SUM(H49:H55)</f>
        <v>19522.8</v>
      </c>
    </row>
    <row r="49" spans="1:11" s="126" customFormat="1" x14ac:dyDescent="0.2">
      <c r="A49" s="28">
        <f>IF(F49&lt;&gt;"",1+MAX($A$7:A48),"")</f>
        <v>37</v>
      </c>
      <c r="B49" s="42" t="s">
        <v>153</v>
      </c>
      <c r="C49" s="96">
        <v>495</v>
      </c>
      <c r="D49" s="121">
        <v>0.1</v>
      </c>
      <c r="E49" s="96">
        <f t="shared" ref="E49:E51" si="28">C49*(1+D49)</f>
        <v>544.5</v>
      </c>
      <c r="F49" s="23" t="s">
        <v>21</v>
      </c>
      <c r="G49" s="131">
        <v>3</v>
      </c>
      <c r="H49" s="127">
        <f t="shared" ref="H49:H51" si="29">G49*E49</f>
        <v>1633.5</v>
      </c>
      <c r="I49" s="130"/>
      <c r="J49" s="63"/>
      <c r="K49" s="63"/>
    </row>
    <row r="50" spans="1:11" s="126" customFormat="1" x14ac:dyDescent="0.2">
      <c r="A50" s="28">
        <f>IF(F50&lt;&gt;"",1+MAX($A$7:A49),"")</f>
        <v>38</v>
      </c>
      <c r="B50" s="42" t="s">
        <v>186</v>
      </c>
      <c r="C50" s="96">
        <v>354</v>
      </c>
      <c r="D50" s="121">
        <v>0.1</v>
      </c>
      <c r="E50" s="96">
        <f t="shared" si="28"/>
        <v>389.40000000000003</v>
      </c>
      <c r="F50" s="23" t="s">
        <v>21</v>
      </c>
      <c r="G50" s="131">
        <v>3</v>
      </c>
      <c r="H50" s="127">
        <f t="shared" si="29"/>
        <v>1168.2</v>
      </c>
      <c r="I50" s="130"/>
      <c r="J50" s="63"/>
      <c r="K50" s="63"/>
    </row>
    <row r="51" spans="1:11" s="126" customFormat="1" x14ac:dyDescent="0.2">
      <c r="A51" s="28">
        <f>IF(F51&lt;&gt;"",1+MAX($A$7:A50),"")</f>
        <v>39</v>
      </c>
      <c r="B51" s="42" t="s">
        <v>154</v>
      </c>
      <c r="C51" s="96">
        <v>1032</v>
      </c>
      <c r="D51" s="121">
        <v>0.1</v>
      </c>
      <c r="E51" s="96">
        <f t="shared" si="28"/>
        <v>1135.2</v>
      </c>
      <c r="F51" s="23" t="s">
        <v>21</v>
      </c>
      <c r="G51" s="131">
        <v>8</v>
      </c>
      <c r="H51" s="127">
        <f t="shared" si="29"/>
        <v>9081.6</v>
      </c>
      <c r="I51" s="130"/>
      <c r="J51" s="63"/>
      <c r="K51" s="63"/>
    </row>
    <row r="52" spans="1:11" s="126" customFormat="1" x14ac:dyDescent="0.2">
      <c r="A52" s="28">
        <f>IF(F52&lt;&gt;"",1+MAX($A$7:A51),"")</f>
        <v>40</v>
      </c>
      <c r="B52" s="42" t="s">
        <v>156</v>
      </c>
      <c r="C52" s="96">
        <v>354</v>
      </c>
      <c r="D52" s="121">
        <v>0.1</v>
      </c>
      <c r="E52" s="96">
        <f t="shared" ref="E52" si="30">C52*(1+D52)</f>
        <v>389.40000000000003</v>
      </c>
      <c r="F52" s="23" t="s">
        <v>21</v>
      </c>
      <c r="G52" s="131">
        <v>7</v>
      </c>
      <c r="H52" s="127">
        <f t="shared" ref="H52" si="31">G52*E52</f>
        <v>2725.8</v>
      </c>
      <c r="I52" s="130"/>
      <c r="J52" s="63"/>
      <c r="K52" s="63"/>
    </row>
    <row r="53" spans="1:11" s="126" customFormat="1" x14ac:dyDescent="0.2">
      <c r="A53" s="28">
        <f>IF(F53&lt;&gt;"",1+MAX($A$7:A52),"")</f>
        <v>41</v>
      </c>
      <c r="B53" s="42" t="s">
        <v>187</v>
      </c>
      <c r="C53" s="96">
        <v>72</v>
      </c>
      <c r="D53" s="121">
        <v>0.1</v>
      </c>
      <c r="E53" s="96">
        <f t="shared" ref="E53" si="32">C53*(1+D53)</f>
        <v>79.2</v>
      </c>
      <c r="F53" s="23" t="s">
        <v>97</v>
      </c>
      <c r="G53" s="131">
        <v>12</v>
      </c>
      <c r="H53" s="127">
        <f t="shared" ref="H53" si="33">G53*E53</f>
        <v>950.40000000000009</v>
      </c>
      <c r="I53" s="130"/>
      <c r="J53" s="63"/>
      <c r="K53" s="63"/>
    </row>
    <row r="54" spans="1:11" s="126" customFormat="1" x14ac:dyDescent="0.2">
      <c r="A54" s="28">
        <f>IF(F54&lt;&gt;"",1+MAX($A$7:A53),"")</f>
        <v>42</v>
      </c>
      <c r="B54" s="42" t="s">
        <v>188</v>
      </c>
      <c r="C54" s="96">
        <v>354</v>
      </c>
      <c r="D54" s="121">
        <v>0.1</v>
      </c>
      <c r="E54" s="96">
        <f t="shared" ref="E54:E55" si="34">C54*(1+D54)</f>
        <v>389.40000000000003</v>
      </c>
      <c r="F54" s="23" t="s">
        <v>21</v>
      </c>
      <c r="G54" s="131">
        <v>7</v>
      </c>
      <c r="H54" s="127">
        <f t="shared" ref="H54:H55" si="35">G54*E54</f>
        <v>2725.8</v>
      </c>
      <c r="I54" s="130"/>
      <c r="J54" s="63"/>
      <c r="K54" s="63"/>
    </row>
    <row r="55" spans="1:11" s="126" customFormat="1" x14ac:dyDescent="0.2">
      <c r="A55" s="28">
        <f>IF(F55&lt;&gt;"",1+MAX($A$7:A54),"")</f>
        <v>43</v>
      </c>
      <c r="B55" s="42" t="s">
        <v>190</v>
      </c>
      <c r="C55" s="96">
        <v>75</v>
      </c>
      <c r="D55" s="121">
        <v>0.1</v>
      </c>
      <c r="E55" s="96">
        <f t="shared" si="34"/>
        <v>82.5</v>
      </c>
      <c r="F55" s="23" t="s">
        <v>97</v>
      </c>
      <c r="G55" s="131">
        <v>15</v>
      </c>
      <c r="H55" s="127">
        <f t="shared" si="35"/>
        <v>1237.5</v>
      </c>
      <c r="I55" s="130"/>
      <c r="J55" s="63"/>
      <c r="K55" s="63"/>
    </row>
    <row r="56" spans="1:11" s="126" customFormat="1" x14ac:dyDescent="0.2">
      <c r="A56" s="143" t="str">
        <f>IF(F56&lt;&gt;"",1+MAX($A$7:A15),"")</f>
        <v/>
      </c>
      <c r="B56" s="144" t="s">
        <v>104</v>
      </c>
      <c r="C56" s="145"/>
      <c r="D56" s="145"/>
      <c r="E56" s="145"/>
      <c r="F56" s="146"/>
      <c r="G56" s="144"/>
      <c r="H56" s="144"/>
      <c r="I56" s="147">
        <f>SUM(H57:H70)</f>
        <v>11150</v>
      </c>
    </row>
    <row r="57" spans="1:11" s="126" customFormat="1" x14ac:dyDescent="0.2">
      <c r="A57" s="28" t="str">
        <f>IF(F57&lt;&gt;"",1+MAX($A$7:A56),"")</f>
        <v/>
      </c>
      <c r="B57" s="165" t="s">
        <v>105</v>
      </c>
      <c r="C57" s="96"/>
      <c r="D57" s="121"/>
      <c r="E57" s="96"/>
      <c r="F57" s="23"/>
      <c r="G57" s="128"/>
      <c r="H57" s="127"/>
      <c r="I57" s="130"/>
    </row>
    <row r="58" spans="1:11" s="126" customFormat="1" ht="31.5" x14ac:dyDescent="0.2">
      <c r="A58" s="28">
        <f>IF(F58&lt;&gt;"",1+MAX($A$7:A57),"")</f>
        <v>44</v>
      </c>
      <c r="B58" s="140" t="s">
        <v>132</v>
      </c>
      <c r="C58" s="96">
        <v>1</v>
      </c>
      <c r="D58" s="121">
        <v>0</v>
      </c>
      <c r="E58" s="96">
        <f t="shared" ref="E58" si="36">C58*(1+D58)</f>
        <v>1</v>
      </c>
      <c r="F58" s="23" t="s">
        <v>101</v>
      </c>
      <c r="G58" s="128">
        <v>900</v>
      </c>
      <c r="H58" s="127">
        <f t="shared" ref="H58:H74" si="37">G58*E58</f>
        <v>900</v>
      </c>
      <c r="I58" s="130"/>
    </row>
    <row r="59" spans="1:11" s="126" customFormat="1" ht="31.5" x14ac:dyDescent="0.2">
      <c r="A59" s="28">
        <f>IF(F59&lt;&gt;"",1+MAX($A$7:A58),"")</f>
        <v>45</v>
      </c>
      <c r="B59" s="140" t="s">
        <v>133</v>
      </c>
      <c r="C59" s="96">
        <v>1</v>
      </c>
      <c r="D59" s="121">
        <v>0</v>
      </c>
      <c r="E59" s="96">
        <f t="shared" ref="E59" si="38">C59*(1+D59)</f>
        <v>1</v>
      </c>
      <c r="F59" s="23" t="s">
        <v>101</v>
      </c>
      <c r="G59" s="128">
        <v>1500</v>
      </c>
      <c r="H59" s="127">
        <f t="shared" ref="H59" si="39">G59*E59</f>
        <v>1500</v>
      </c>
      <c r="I59" s="130"/>
    </row>
    <row r="60" spans="1:11" s="126" customFormat="1" ht="31.5" x14ac:dyDescent="0.2">
      <c r="A60" s="28">
        <f>IF(F60&lt;&gt;"",1+MAX($A$7:A59),"")</f>
        <v>46</v>
      </c>
      <c r="B60" s="140" t="s">
        <v>134</v>
      </c>
      <c r="C60" s="96">
        <v>2</v>
      </c>
      <c r="D60" s="121">
        <v>0</v>
      </c>
      <c r="E60" s="96">
        <f t="shared" ref="E60:E61" si="40">C60*(1+D60)</f>
        <v>2</v>
      </c>
      <c r="F60" s="23" t="s">
        <v>101</v>
      </c>
      <c r="G60" s="128">
        <v>800</v>
      </c>
      <c r="H60" s="127">
        <f t="shared" ref="H60:H61" si="41">G60*E60</f>
        <v>1600</v>
      </c>
      <c r="I60" s="130"/>
    </row>
    <row r="61" spans="1:11" s="126" customFormat="1" ht="31.5" x14ac:dyDescent="0.2">
      <c r="A61" s="28">
        <f>IF(F61&lt;&gt;"",1+MAX($A$7:A60),"")</f>
        <v>47</v>
      </c>
      <c r="B61" s="140" t="s">
        <v>135</v>
      </c>
      <c r="C61" s="96">
        <v>2</v>
      </c>
      <c r="D61" s="121">
        <v>0</v>
      </c>
      <c r="E61" s="96">
        <f t="shared" si="40"/>
        <v>2</v>
      </c>
      <c r="F61" s="23" t="s">
        <v>101</v>
      </c>
      <c r="G61" s="128">
        <v>850</v>
      </c>
      <c r="H61" s="127">
        <f t="shared" si="41"/>
        <v>1700</v>
      </c>
      <c r="I61" s="130"/>
    </row>
    <row r="62" spans="1:11" s="126" customFormat="1" ht="31.5" x14ac:dyDescent="0.2">
      <c r="A62" s="28">
        <f>IF(F62&lt;&gt;"",1+MAX($A$7:A61),"")</f>
        <v>48</v>
      </c>
      <c r="B62" s="140" t="s">
        <v>136</v>
      </c>
      <c r="C62" s="96">
        <v>1</v>
      </c>
      <c r="D62" s="121">
        <v>0</v>
      </c>
      <c r="E62" s="96">
        <f t="shared" ref="E62" si="42">C62*(1+D62)</f>
        <v>1</v>
      </c>
      <c r="F62" s="23" t="s">
        <v>101</v>
      </c>
      <c r="G62" s="128">
        <v>1500</v>
      </c>
      <c r="H62" s="127">
        <f t="shared" ref="H62" si="43">G62*E62</f>
        <v>1500</v>
      </c>
      <c r="I62" s="130"/>
    </row>
    <row r="63" spans="1:11" s="126" customFormat="1" ht="31.5" x14ac:dyDescent="0.2">
      <c r="A63" s="28">
        <f>IF(F63&lt;&gt;"",1+MAX($A$7:A62),"")</f>
        <v>49</v>
      </c>
      <c r="B63" s="140" t="s">
        <v>137</v>
      </c>
      <c r="C63" s="96">
        <v>1</v>
      </c>
      <c r="D63" s="121">
        <v>0</v>
      </c>
      <c r="E63" s="96">
        <f t="shared" ref="E63" si="44">C63*(1+D63)</f>
        <v>1</v>
      </c>
      <c r="F63" s="23" t="s">
        <v>101</v>
      </c>
      <c r="G63" s="128">
        <v>900</v>
      </c>
      <c r="H63" s="127">
        <f t="shared" ref="H63" si="45">G63*E63</f>
        <v>900</v>
      </c>
      <c r="I63" s="130"/>
    </row>
    <row r="64" spans="1:11" s="126" customFormat="1" ht="31.5" x14ac:dyDescent="0.2">
      <c r="A64" s="28">
        <f>IF(F64&lt;&gt;"",1+MAX($A$7:A63),"")</f>
        <v>50</v>
      </c>
      <c r="B64" s="140" t="s">
        <v>138</v>
      </c>
      <c r="C64" s="96">
        <v>1</v>
      </c>
      <c r="D64" s="121">
        <v>0</v>
      </c>
      <c r="E64" s="96">
        <f t="shared" ref="E64" si="46">C64*(1+D64)</f>
        <v>1</v>
      </c>
      <c r="F64" s="23" t="s">
        <v>101</v>
      </c>
      <c r="G64" s="128">
        <v>800</v>
      </c>
      <c r="H64" s="127">
        <f t="shared" ref="H64" si="47">G64*E64</f>
        <v>800</v>
      </c>
      <c r="I64" s="130"/>
    </row>
    <row r="65" spans="1:9" s="126" customFormat="1" x14ac:dyDescent="0.2">
      <c r="A65" s="28" t="str">
        <f>IF(F65&lt;&gt;"",1+MAX($A$7:A64),"")</f>
        <v/>
      </c>
      <c r="B65" s="165" t="s">
        <v>115</v>
      </c>
      <c r="C65" s="96"/>
      <c r="D65" s="121"/>
      <c r="E65" s="96"/>
      <c r="F65" s="23"/>
      <c r="G65" s="128"/>
      <c r="H65" s="127"/>
      <c r="I65" s="130"/>
    </row>
    <row r="66" spans="1:9" s="126" customFormat="1" ht="31.5" x14ac:dyDescent="0.2">
      <c r="A66" s="28">
        <f>IF(F66&lt;&gt;"",1+MAX($A$7:A65),"")</f>
        <v>51</v>
      </c>
      <c r="B66" s="140" t="s">
        <v>139</v>
      </c>
      <c r="C66" s="96">
        <v>2</v>
      </c>
      <c r="D66" s="121">
        <v>0</v>
      </c>
      <c r="E66" s="96">
        <f t="shared" ref="E66" si="48">C66*(1+D66)</f>
        <v>2</v>
      </c>
      <c r="F66" s="23" t="s">
        <v>101</v>
      </c>
      <c r="G66" s="128">
        <v>300</v>
      </c>
      <c r="H66" s="127">
        <f t="shared" ref="H66" si="49">G66*E66</f>
        <v>600</v>
      </c>
      <c r="I66" s="130"/>
    </row>
    <row r="67" spans="1:9" s="126" customFormat="1" ht="31.5" x14ac:dyDescent="0.2">
      <c r="A67" s="28">
        <f>IF(F67&lt;&gt;"",1+MAX($A$7:A66),"")</f>
        <v>52</v>
      </c>
      <c r="B67" s="140" t="s">
        <v>140</v>
      </c>
      <c r="C67" s="96">
        <v>2</v>
      </c>
      <c r="D67" s="121">
        <v>0</v>
      </c>
      <c r="E67" s="96">
        <f t="shared" ref="E67" si="50">C67*(1+D67)</f>
        <v>2</v>
      </c>
      <c r="F67" s="23" t="s">
        <v>101</v>
      </c>
      <c r="G67" s="128">
        <v>150</v>
      </c>
      <c r="H67" s="127">
        <f t="shared" ref="H67" si="51">G67*E67</f>
        <v>300</v>
      </c>
      <c r="I67" s="130"/>
    </row>
    <row r="68" spans="1:9" s="126" customFormat="1" ht="31.5" x14ac:dyDescent="0.2">
      <c r="A68" s="28">
        <f>IF(F68&lt;&gt;"",1+MAX($A$7:A67),"")</f>
        <v>53</v>
      </c>
      <c r="B68" s="140" t="s">
        <v>141</v>
      </c>
      <c r="C68" s="96">
        <v>2</v>
      </c>
      <c r="D68" s="121">
        <v>0</v>
      </c>
      <c r="E68" s="96">
        <f t="shared" ref="E68" si="52">C68*(1+D68)</f>
        <v>2</v>
      </c>
      <c r="F68" s="23" t="s">
        <v>101</v>
      </c>
      <c r="G68" s="128">
        <v>150</v>
      </c>
      <c r="H68" s="127">
        <f t="shared" ref="H68" si="53">G68*E68</f>
        <v>300</v>
      </c>
      <c r="I68" s="130"/>
    </row>
    <row r="69" spans="1:9" s="126" customFormat="1" ht="31.5" x14ac:dyDescent="0.2">
      <c r="A69" s="28">
        <f>IF(F69&lt;&gt;"",1+MAX($A$7:A68),"")</f>
        <v>54</v>
      </c>
      <c r="B69" s="140" t="s">
        <v>142</v>
      </c>
      <c r="C69" s="96">
        <v>1</v>
      </c>
      <c r="D69" s="121">
        <v>0</v>
      </c>
      <c r="E69" s="96">
        <f t="shared" ref="E69:E70" si="54">C69*(1+D69)</f>
        <v>1</v>
      </c>
      <c r="F69" s="23" t="s">
        <v>101</v>
      </c>
      <c r="G69" s="128">
        <f>2.5*4*45</f>
        <v>450</v>
      </c>
      <c r="H69" s="127">
        <f t="shared" ref="H69:H70" si="55">G69*E69</f>
        <v>450</v>
      </c>
      <c r="I69" s="130"/>
    </row>
    <row r="70" spans="1:9" s="126" customFormat="1" ht="31.5" x14ac:dyDescent="0.2">
      <c r="A70" s="28">
        <f>IF(F70&lt;&gt;"",1+MAX($A$7:A69),"")</f>
        <v>55</v>
      </c>
      <c r="B70" s="140" t="s">
        <v>143</v>
      </c>
      <c r="C70" s="96">
        <v>1</v>
      </c>
      <c r="D70" s="121">
        <v>0</v>
      </c>
      <c r="E70" s="96">
        <f t="shared" si="54"/>
        <v>1</v>
      </c>
      <c r="F70" s="23" t="s">
        <v>101</v>
      </c>
      <c r="G70" s="128">
        <v>600</v>
      </c>
      <c r="H70" s="127">
        <f t="shared" si="55"/>
        <v>600</v>
      </c>
      <c r="I70" s="130"/>
    </row>
    <row r="71" spans="1:9" s="126" customFormat="1" x14ac:dyDescent="0.2">
      <c r="A71" s="143"/>
      <c r="B71" s="144" t="s">
        <v>106</v>
      </c>
      <c r="C71" s="145"/>
      <c r="D71" s="145"/>
      <c r="E71" s="145"/>
      <c r="F71" s="146"/>
      <c r="G71" s="144"/>
      <c r="H71" s="144"/>
      <c r="I71" s="147">
        <f>SUM(H74:H94)</f>
        <v>39312.580400000006</v>
      </c>
    </row>
    <row r="72" spans="1:9" s="126" customFormat="1" x14ac:dyDescent="0.2">
      <c r="A72" s="28"/>
      <c r="B72" s="166" t="s">
        <v>107</v>
      </c>
      <c r="C72" s="96"/>
      <c r="D72" s="121"/>
      <c r="E72" s="96"/>
      <c r="F72" s="23"/>
      <c r="G72" s="128"/>
      <c r="H72" s="127"/>
      <c r="I72" s="130"/>
    </row>
    <row r="73" spans="1:9" s="126" customFormat="1" x14ac:dyDescent="0.2">
      <c r="A73" s="28"/>
      <c r="B73" s="140" t="s">
        <v>144</v>
      </c>
      <c r="C73" s="96"/>
      <c r="D73" s="121"/>
      <c r="E73" s="96"/>
      <c r="F73" s="23"/>
      <c r="G73" s="128"/>
      <c r="H73" s="127"/>
      <c r="I73" s="130"/>
    </row>
    <row r="74" spans="1:9" s="126" customFormat="1" x14ac:dyDescent="0.2">
      <c r="A74" s="28">
        <f>IF(F74&lt;&gt;"",1+MAX($A$7:A73),"")</f>
        <v>56</v>
      </c>
      <c r="B74" s="43" t="s">
        <v>145</v>
      </c>
      <c r="C74" s="96">
        <f>325.52*2+304.32</f>
        <v>955.3599999999999</v>
      </c>
      <c r="D74" s="121">
        <v>0.1</v>
      </c>
      <c r="E74" s="96">
        <f t="shared" ref="E74" si="56">C74*(1+D74)</f>
        <v>1050.896</v>
      </c>
      <c r="F74" s="23" t="s">
        <v>21</v>
      </c>
      <c r="G74" s="128">
        <v>3</v>
      </c>
      <c r="H74" s="127">
        <f t="shared" si="37"/>
        <v>3152.6880000000001</v>
      </c>
      <c r="I74" s="130"/>
    </row>
    <row r="75" spans="1:9" s="126" customFormat="1" ht="31.5" x14ac:dyDescent="0.2">
      <c r="A75" s="28">
        <f>IF(F75&lt;&gt;"",1+MAX($A$7:A74),"")</f>
        <v>57</v>
      </c>
      <c r="B75" s="43" t="s">
        <v>146</v>
      </c>
      <c r="C75" s="96">
        <v>304.32</v>
      </c>
      <c r="D75" s="121">
        <v>0.1</v>
      </c>
      <c r="E75" s="96">
        <f t="shared" ref="E75" si="57">C75*(1+D75)</f>
        <v>334.75200000000001</v>
      </c>
      <c r="F75" s="23" t="s">
        <v>21</v>
      </c>
      <c r="G75" s="128">
        <v>3.2</v>
      </c>
      <c r="H75" s="127">
        <f t="shared" ref="H75" si="58">G75*E75</f>
        <v>1071.2064</v>
      </c>
      <c r="I75" s="130"/>
    </row>
    <row r="76" spans="1:9" s="126" customFormat="1" x14ac:dyDescent="0.2">
      <c r="A76" s="28">
        <f>IF(F76&lt;&gt;"",1+MAX($A$7:A75),"")</f>
        <v>58</v>
      </c>
      <c r="B76" s="43" t="s">
        <v>116</v>
      </c>
      <c r="C76" s="96">
        <f>325.52+304.32</f>
        <v>629.83999999999992</v>
      </c>
      <c r="D76" s="121">
        <v>0.1</v>
      </c>
      <c r="E76" s="96">
        <f t="shared" ref="E76" si="59">C76*(1+D76)</f>
        <v>692.82399999999996</v>
      </c>
      <c r="F76" s="23" t="s">
        <v>21</v>
      </c>
      <c r="G76" s="128">
        <v>2</v>
      </c>
      <c r="H76" s="127">
        <f t="shared" ref="H76" si="60">G76*E76</f>
        <v>1385.6479999999999</v>
      </c>
      <c r="I76" s="130"/>
    </row>
    <row r="77" spans="1:9" s="126" customFormat="1" x14ac:dyDescent="0.2">
      <c r="A77" s="28">
        <f>IF(F77&lt;&gt;"",1+MAX($A$7:A76),"")</f>
        <v>59</v>
      </c>
      <c r="B77" s="43" t="s">
        <v>118</v>
      </c>
      <c r="C77" s="96">
        <f>78*4</f>
        <v>312</v>
      </c>
      <c r="D77" s="121">
        <v>0.1</v>
      </c>
      <c r="E77" s="96">
        <f t="shared" ref="E77" si="61">C77*(1+D77)</f>
        <v>343.20000000000005</v>
      </c>
      <c r="F77" s="23" t="s">
        <v>97</v>
      </c>
      <c r="G77" s="128">
        <v>1</v>
      </c>
      <c r="H77" s="127">
        <f t="shared" ref="H77" si="62">G77*E77</f>
        <v>343.20000000000005</v>
      </c>
      <c r="I77" s="130"/>
    </row>
    <row r="78" spans="1:9" s="126" customFormat="1" x14ac:dyDescent="0.2">
      <c r="A78" s="28" t="str">
        <f>IF(F78&lt;&gt;"",1+MAX($A$7:A77),"")</f>
        <v/>
      </c>
      <c r="B78" s="140" t="s">
        <v>147</v>
      </c>
      <c r="C78" s="96"/>
      <c r="D78" s="121"/>
      <c r="E78" s="96"/>
      <c r="F78" s="23"/>
      <c r="G78" s="128"/>
      <c r="H78" s="127"/>
      <c r="I78" s="130"/>
    </row>
    <row r="79" spans="1:9" s="126" customFormat="1" x14ac:dyDescent="0.2">
      <c r="A79" s="28">
        <f>IF(F79&lt;&gt;"",1+MAX($A$7:A78),"")</f>
        <v>60</v>
      </c>
      <c r="B79" s="43" t="s">
        <v>148</v>
      </c>
      <c r="C79" s="96">
        <v>996.3</v>
      </c>
      <c r="D79" s="121">
        <v>0.1</v>
      </c>
      <c r="E79" s="96">
        <f t="shared" ref="E79:E81" si="63">C79*(1+D79)</f>
        <v>1095.93</v>
      </c>
      <c r="F79" s="23" t="s">
        <v>21</v>
      </c>
      <c r="G79" s="128">
        <v>3</v>
      </c>
      <c r="H79" s="127">
        <f t="shared" ref="H79:H81" si="64">G79*E79</f>
        <v>3287.79</v>
      </c>
      <c r="I79" s="130"/>
    </row>
    <row r="80" spans="1:9" s="126" customFormat="1" ht="31.5" x14ac:dyDescent="0.2">
      <c r="A80" s="28">
        <f>IF(F80&lt;&gt;"",1+MAX($A$7:A79),"")</f>
        <v>61</v>
      </c>
      <c r="B80" s="43" t="s">
        <v>146</v>
      </c>
      <c r="C80" s="96">
        <v>380</v>
      </c>
      <c r="D80" s="121">
        <v>0.1</v>
      </c>
      <c r="E80" s="96">
        <f t="shared" si="63"/>
        <v>418.00000000000006</v>
      </c>
      <c r="F80" s="23" t="s">
        <v>21</v>
      </c>
      <c r="G80" s="128">
        <v>3.2</v>
      </c>
      <c r="H80" s="127">
        <f t="shared" si="64"/>
        <v>1337.6000000000004</v>
      </c>
      <c r="I80" s="130"/>
    </row>
    <row r="81" spans="1:9" s="126" customFormat="1" x14ac:dyDescent="0.2">
      <c r="A81" s="28">
        <f>IF(F81&lt;&gt;"",1+MAX($A$7:A80),"")</f>
        <v>62</v>
      </c>
      <c r="B81" s="43" t="s">
        <v>116</v>
      </c>
      <c r="C81" s="96">
        <v>1376.3</v>
      </c>
      <c r="D81" s="121">
        <v>0.1</v>
      </c>
      <c r="E81" s="96">
        <f t="shared" si="63"/>
        <v>1513.93</v>
      </c>
      <c r="F81" s="23" t="s">
        <v>21</v>
      </c>
      <c r="G81" s="128">
        <v>2</v>
      </c>
      <c r="H81" s="127">
        <f t="shared" si="64"/>
        <v>3027.86</v>
      </c>
      <c r="I81" s="130"/>
    </row>
    <row r="82" spans="1:9" s="126" customFormat="1" x14ac:dyDescent="0.2">
      <c r="A82" s="28">
        <f>IF(F82&lt;&gt;"",1+MAX($A$7:A81),"")</f>
        <v>63</v>
      </c>
      <c r="B82" s="43" t="s">
        <v>117</v>
      </c>
      <c r="C82" s="96">
        <v>1376.3</v>
      </c>
      <c r="D82" s="121">
        <v>0.1</v>
      </c>
      <c r="E82" s="96">
        <f t="shared" ref="E82" si="65">C82*(1+D82)</f>
        <v>1513.93</v>
      </c>
      <c r="F82" s="23" t="s">
        <v>21</v>
      </c>
      <c r="G82" s="128">
        <v>2</v>
      </c>
      <c r="H82" s="127">
        <f t="shared" ref="H82" si="66">G82*E82</f>
        <v>3027.86</v>
      </c>
      <c r="I82" s="130"/>
    </row>
    <row r="83" spans="1:9" s="126" customFormat="1" x14ac:dyDescent="0.2">
      <c r="A83" s="28">
        <f>IF(F83&lt;&gt;"",1+MAX($A$7:A82),"")</f>
        <v>64</v>
      </c>
      <c r="B83" s="43" t="s">
        <v>118</v>
      </c>
      <c r="C83" s="96">
        <f>137.63*2</f>
        <v>275.26</v>
      </c>
      <c r="D83" s="121">
        <v>0.1</v>
      </c>
      <c r="E83" s="96">
        <f t="shared" ref="E83" si="67">C83*(1+D83)</f>
        <v>302.786</v>
      </c>
      <c r="F83" s="23" t="s">
        <v>97</v>
      </c>
      <c r="G83" s="128">
        <v>1</v>
      </c>
      <c r="H83" s="127">
        <f t="shared" ref="H83" si="68">G83*E83</f>
        <v>302.786</v>
      </c>
      <c r="I83" s="130"/>
    </row>
    <row r="84" spans="1:9" s="126" customFormat="1" x14ac:dyDescent="0.2">
      <c r="A84" s="28" t="str">
        <f>IF(F84&lt;&gt;"",1+MAX($A$7:A83),"")</f>
        <v/>
      </c>
      <c r="B84" s="166" t="s">
        <v>108</v>
      </c>
      <c r="C84" s="96"/>
      <c r="D84" s="121"/>
      <c r="E84" s="96"/>
      <c r="F84" s="23"/>
      <c r="G84" s="128"/>
      <c r="H84" s="127"/>
      <c r="I84" s="130"/>
    </row>
    <row r="85" spans="1:9" s="126" customFormat="1" x14ac:dyDescent="0.2">
      <c r="A85" s="28">
        <f>IF(F85&lt;&gt;"",1+MAX($A$7:A84),"")</f>
        <v>65</v>
      </c>
      <c r="B85" s="43" t="s">
        <v>149</v>
      </c>
      <c r="C85" s="96">
        <v>402</v>
      </c>
      <c r="D85" s="121">
        <v>0.1</v>
      </c>
      <c r="E85" s="96">
        <f t="shared" ref="E85:E86" si="69">C85*(1+D85)</f>
        <v>442.20000000000005</v>
      </c>
      <c r="F85" s="23" t="s">
        <v>21</v>
      </c>
      <c r="G85" s="128">
        <v>7.5</v>
      </c>
      <c r="H85" s="127">
        <f t="shared" ref="H85:H86" si="70">G85*E85</f>
        <v>3316.5000000000005</v>
      </c>
      <c r="I85" s="130"/>
    </row>
    <row r="86" spans="1:9" s="126" customFormat="1" x14ac:dyDescent="0.2">
      <c r="A86" s="28">
        <f>IF(F86&lt;&gt;"",1+MAX($A$7:A85),"")</f>
        <v>66</v>
      </c>
      <c r="B86" s="43" t="s">
        <v>150</v>
      </c>
      <c r="C86" s="96">
        <v>112</v>
      </c>
      <c r="D86" s="121">
        <v>0.1</v>
      </c>
      <c r="E86" s="96">
        <f t="shared" si="69"/>
        <v>123.20000000000002</v>
      </c>
      <c r="F86" s="23" t="s">
        <v>21</v>
      </c>
      <c r="G86" s="128">
        <v>10</v>
      </c>
      <c r="H86" s="127">
        <f t="shared" si="70"/>
        <v>1232.0000000000002</v>
      </c>
      <c r="I86" s="130"/>
    </row>
    <row r="87" spans="1:9" s="126" customFormat="1" x14ac:dyDescent="0.2">
      <c r="A87" s="28" t="str">
        <f>IF(F87&lt;&gt;"",1+MAX($A$7:A86),"")</f>
        <v/>
      </c>
      <c r="B87" s="166" t="s">
        <v>214</v>
      </c>
      <c r="C87" s="96"/>
      <c r="D87" s="121"/>
      <c r="E87" s="96"/>
      <c r="F87" s="23"/>
      <c r="G87" s="128"/>
      <c r="H87" s="127"/>
      <c r="I87" s="130"/>
    </row>
    <row r="88" spans="1:9" s="126" customFormat="1" x14ac:dyDescent="0.2">
      <c r="A88" s="28">
        <f>IF(F88&lt;&gt;"",1+MAX($A$7:A87),"")</f>
        <v>67</v>
      </c>
      <c r="B88" s="43" t="s">
        <v>215</v>
      </c>
      <c r="C88" s="96">
        <v>450.5</v>
      </c>
      <c r="D88" s="121">
        <v>0.1</v>
      </c>
      <c r="E88" s="96">
        <f t="shared" ref="E88" si="71">C88*(1+D88)</f>
        <v>495.55000000000007</v>
      </c>
      <c r="F88" s="23" t="s">
        <v>21</v>
      </c>
      <c r="G88" s="128">
        <v>15</v>
      </c>
      <c r="H88" s="127">
        <f>G88*E88</f>
        <v>7433.2500000000009</v>
      </c>
      <c r="I88" s="130"/>
    </row>
    <row r="89" spans="1:9" s="126" customFormat="1" x14ac:dyDescent="0.2">
      <c r="A89" s="28" t="str">
        <f>IF(F89&lt;&gt;"",1+MAX($A$7:A88),"")</f>
        <v/>
      </c>
      <c r="B89" s="166" t="s">
        <v>109</v>
      </c>
      <c r="C89" s="96"/>
      <c r="D89" s="121"/>
      <c r="E89" s="96"/>
      <c r="F89" s="23"/>
      <c r="G89" s="128"/>
      <c r="H89" s="127"/>
      <c r="I89" s="130"/>
    </row>
    <row r="90" spans="1:9" s="126" customFormat="1" x14ac:dyDescent="0.2">
      <c r="A90" s="28">
        <f>IF(F90&lt;&gt;"",1+MAX($A$7:A89),"")</f>
        <v>68</v>
      </c>
      <c r="B90" s="43" t="s">
        <v>151</v>
      </c>
      <c r="C90" s="96">
        <v>514</v>
      </c>
      <c r="D90" s="121">
        <v>0.1</v>
      </c>
      <c r="E90" s="96">
        <f t="shared" ref="E90:E94" si="72">C90*(1+D90)</f>
        <v>565.40000000000009</v>
      </c>
      <c r="F90" s="23" t="s">
        <v>21</v>
      </c>
      <c r="G90" s="128">
        <v>8</v>
      </c>
      <c r="H90" s="127">
        <f t="shared" ref="H90:H94" si="73">G90*E90</f>
        <v>4523.2000000000007</v>
      </c>
      <c r="I90" s="130"/>
    </row>
    <row r="91" spans="1:9" s="126" customFormat="1" x14ac:dyDescent="0.2">
      <c r="A91" s="28" t="str">
        <f>IF(F91&lt;&gt;"",1+MAX($A$7:A90),"")</f>
        <v/>
      </c>
      <c r="B91" s="166" t="s">
        <v>152</v>
      </c>
      <c r="C91" s="96"/>
      <c r="D91" s="121"/>
      <c r="E91" s="96"/>
      <c r="F91" s="23"/>
      <c r="G91" s="128"/>
      <c r="H91" s="127"/>
      <c r="I91" s="130"/>
    </row>
    <row r="92" spans="1:9" s="126" customFormat="1" x14ac:dyDescent="0.2">
      <c r="A92" s="28">
        <f>IF(F92&lt;&gt;"",1+MAX($A$7:A91),"")</f>
        <v>69</v>
      </c>
      <c r="B92" s="43" t="s">
        <v>124</v>
      </c>
      <c r="C92" s="96">
        <f>C74+C79</f>
        <v>1951.6599999999999</v>
      </c>
      <c r="D92" s="121">
        <v>0.1</v>
      </c>
      <c r="E92" s="96">
        <f t="shared" si="72"/>
        <v>2146.826</v>
      </c>
      <c r="F92" s="23" t="s">
        <v>21</v>
      </c>
      <c r="G92" s="128">
        <v>2</v>
      </c>
      <c r="H92" s="127">
        <f t="shared" si="73"/>
        <v>4293.652</v>
      </c>
      <c r="I92" s="130"/>
    </row>
    <row r="93" spans="1:9" s="126" customFormat="1" x14ac:dyDescent="0.2">
      <c r="A93" s="28">
        <f>IF(F93&lt;&gt;"",1+MAX($A$7:A92),"")</f>
        <v>70</v>
      </c>
      <c r="B93" s="43" t="s">
        <v>125</v>
      </c>
      <c r="C93" s="96">
        <v>514</v>
      </c>
      <c r="D93" s="121">
        <v>0.1</v>
      </c>
      <c r="E93" s="96">
        <f t="shared" si="72"/>
        <v>565.40000000000009</v>
      </c>
      <c r="F93" s="23" t="s">
        <v>21</v>
      </c>
      <c r="G93" s="128">
        <v>2.1</v>
      </c>
      <c r="H93" s="127">
        <f t="shared" si="73"/>
        <v>1187.3400000000001</v>
      </c>
      <c r="I93" s="130"/>
    </row>
    <row r="94" spans="1:9" s="126" customFormat="1" x14ac:dyDescent="0.2">
      <c r="A94" s="28">
        <f>IF(F94&lt;&gt;"",1+MAX($A$7:A93),"")</f>
        <v>71</v>
      </c>
      <c r="B94" s="43" t="s">
        <v>126</v>
      </c>
      <c r="C94" s="96">
        <v>6</v>
      </c>
      <c r="D94" s="121">
        <v>0</v>
      </c>
      <c r="E94" s="96">
        <f t="shared" si="72"/>
        <v>6</v>
      </c>
      <c r="F94" s="23" t="s">
        <v>101</v>
      </c>
      <c r="G94" s="128">
        <v>65</v>
      </c>
      <c r="H94" s="127">
        <f t="shared" si="73"/>
        <v>390</v>
      </c>
      <c r="I94" s="130"/>
    </row>
    <row r="95" spans="1:9" s="126" customFormat="1" x14ac:dyDescent="0.2">
      <c r="A95" s="143" t="str">
        <f>IF(F95&lt;&gt;"",1+MAX($A$7:A94),"")</f>
        <v/>
      </c>
      <c r="B95" s="144" t="s">
        <v>127</v>
      </c>
      <c r="C95" s="145"/>
      <c r="D95" s="145"/>
      <c r="E95" s="145"/>
      <c r="F95" s="146"/>
      <c r="G95" s="144"/>
      <c r="H95" s="144"/>
      <c r="I95" s="147">
        <f>SUM(H96:H100)</f>
        <v>8650</v>
      </c>
    </row>
    <row r="96" spans="1:9" s="126" customFormat="1" x14ac:dyDescent="0.2">
      <c r="A96" s="28">
        <f>IF(F96&lt;&gt;"",1+MAX($A$7:A95),"")</f>
        <v>72</v>
      </c>
      <c r="B96" s="43" t="s">
        <v>128</v>
      </c>
      <c r="C96" s="96">
        <v>2</v>
      </c>
      <c r="D96" s="121">
        <v>0</v>
      </c>
      <c r="E96" s="96">
        <f t="shared" ref="E96:E97" si="74">C96*(1+D96)</f>
        <v>2</v>
      </c>
      <c r="F96" s="23" t="s">
        <v>101</v>
      </c>
      <c r="G96" s="128">
        <v>1050</v>
      </c>
      <c r="H96" s="127">
        <f t="shared" ref="H96:H97" si="75">G96*E96</f>
        <v>2100</v>
      </c>
      <c r="I96" s="130"/>
    </row>
    <row r="97" spans="1:9" s="126" customFormat="1" x14ac:dyDescent="0.2">
      <c r="A97" s="28">
        <f>IF(F97&lt;&gt;"",1+MAX($A$7:A96),"")</f>
        <v>73</v>
      </c>
      <c r="B97" s="43" t="s">
        <v>129</v>
      </c>
      <c r="C97" s="96">
        <v>1</v>
      </c>
      <c r="D97" s="121">
        <v>0</v>
      </c>
      <c r="E97" s="96">
        <f t="shared" si="74"/>
        <v>1</v>
      </c>
      <c r="F97" s="23" t="s">
        <v>101</v>
      </c>
      <c r="G97" s="128">
        <v>1250</v>
      </c>
      <c r="H97" s="127">
        <f t="shared" si="75"/>
        <v>1250</v>
      </c>
      <c r="I97" s="130"/>
    </row>
    <row r="98" spans="1:9" s="126" customFormat="1" x14ac:dyDescent="0.2">
      <c r="A98" s="28">
        <f>IF(F98&lt;&gt;"",1+MAX($A$7:A97),"")</f>
        <v>74</v>
      </c>
      <c r="B98" s="43" t="s">
        <v>191</v>
      </c>
      <c r="C98" s="96">
        <v>1</v>
      </c>
      <c r="D98" s="121">
        <v>0</v>
      </c>
      <c r="E98" s="96">
        <f t="shared" ref="E98:E99" si="76">C98*(1+D98)</f>
        <v>1</v>
      </c>
      <c r="F98" s="23" t="s">
        <v>101</v>
      </c>
      <c r="G98" s="128">
        <v>3200</v>
      </c>
      <c r="H98" s="127">
        <f t="shared" ref="H98:H99" si="77">G98*E98</f>
        <v>3200</v>
      </c>
      <c r="I98" s="130"/>
    </row>
    <row r="99" spans="1:9" s="126" customFormat="1" x14ac:dyDescent="0.2">
      <c r="A99" s="28">
        <f>IF(F99&lt;&gt;"",1+MAX($A$7:A98),"")</f>
        <v>75</v>
      </c>
      <c r="B99" s="43" t="s">
        <v>192</v>
      </c>
      <c r="C99" s="96">
        <v>1</v>
      </c>
      <c r="D99" s="121">
        <v>0</v>
      </c>
      <c r="E99" s="96">
        <f t="shared" si="76"/>
        <v>1</v>
      </c>
      <c r="F99" s="23" t="s">
        <v>101</v>
      </c>
      <c r="G99" s="128">
        <v>1750</v>
      </c>
      <c r="H99" s="127">
        <f t="shared" si="77"/>
        <v>1750</v>
      </c>
      <c r="I99" s="130"/>
    </row>
    <row r="100" spans="1:9" s="126" customFormat="1" x14ac:dyDescent="0.2">
      <c r="A100" s="28">
        <f>IF(F100&lt;&gt;"",1+MAX($A$7:A99),"")</f>
        <v>76</v>
      </c>
      <c r="B100" s="43" t="s">
        <v>216</v>
      </c>
      <c r="C100" s="96">
        <v>1</v>
      </c>
      <c r="D100" s="121">
        <v>0</v>
      </c>
      <c r="E100" s="96">
        <f t="shared" ref="E100" si="78">C100*(1+D100)</f>
        <v>1</v>
      </c>
      <c r="F100" s="23" t="s">
        <v>101</v>
      </c>
      <c r="G100" s="128">
        <v>350</v>
      </c>
      <c r="H100" s="127">
        <f t="shared" ref="H100" si="79">G100*E100</f>
        <v>350</v>
      </c>
      <c r="I100" s="130"/>
    </row>
    <row r="101" spans="1:9" s="126" customFormat="1" x14ac:dyDescent="0.2">
      <c r="A101" s="143" t="str">
        <f>IF(F101&lt;&gt;"",1+MAX($A$7:A99),"")</f>
        <v/>
      </c>
      <c r="B101" s="144" t="s">
        <v>193</v>
      </c>
      <c r="C101" s="145"/>
      <c r="D101" s="145"/>
      <c r="E101" s="145"/>
      <c r="F101" s="146"/>
      <c r="G101" s="144"/>
      <c r="H101" s="144"/>
      <c r="I101" s="147">
        <f>SUM(H102:H119)</f>
        <v>30250</v>
      </c>
    </row>
    <row r="102" spans="1:9" s="126" customFormat="1" x14ac:dyDescent="0.2">
      <c r="A102" s="28">
        <f>IF(F102&lt;&gt;"",1+MAX($A$7:A101),"")</f>
        <v>77</v>
      </c>
      <c r="B102" s="43" t="s">
        <v>194</v>
      </c>
      <c r="C102" s="96">
        <v>8</v>
      </c>
      <c r="D102" s="121">
        <v>0</v>
      </c>
      <c r="E102" s="96">
        <f t="shared" ref="E102:E118" si="80">C102*(1+D102)</f>
        <v>8</v>
      </c>
      <c r="F102" s="23" t="s">
        <v>101</v>
      </c>
      <c r="G102" s="128">
        <v>100</v>
      </c>
      <c r="H102" s="127">
        <f t="shared" ref="H102:H118" si="81">G102*E102</f>
        <v>800</v>
      </c>
      <c r="I102" s="130"/>
    </row>
    <row r="103" spans="1:9" s="126" customFormat="1" x14ac:dyDescent="0.2">
      <c r="A103" s="28">
        <f>IF(F103&lt;&gt;"",1+MAX($A$7:A102),"")</f>
        <v>78</v>
      </c>
      <c r="B103" s="43" t="s">
        <v>195</v>
      </c>
      <c r="C103" s="96">
        <v>5</v>
      </c>
      <c r="D103" s="121">
        <v>0</v>
      </c>
      <c r="E103" s="96">
        <f t="shared" si="80"/>
        <v>5</v>
      </c>
      <c r="F103" s="23" t="s">
        <v>101</v>
      </c>
      <c r="G103" s="128">
        <v>180</v>
      </c>
      <c r="H103" s="127">
        <f t="shared" si="81"/>
        <v>900</v>
      </c>
      <c r="I103" s="130"/>
    </row>
    <row r="104" spans="1:9" s="126" customFormat="1" x14ac:dyDescent="0.2">
      <c r="A104" s="28">
        <f>IF(F104&lt;&gt;"",1+MAX($A$7:A103),"")</f>
        <v>79</v>
      </c>
      <c r="B104" s="43" t="s">
        <v>196</v>
      </c>
      <c r="C104" s="96">
        <v>3</v>
      </c>
      <c r="D104" s="121">
        <v>0</v>
      </c>
      <c r="E104" s="96">
        <f t="shared" si="80"/>
        <v>3</v>
      </c>
      <c r="F104" s="23" t="s">
        <v>101</v>
      </c>
      <c r="G104" s="128">
        <v>150</v>
      </c>
      <c r="H104" s="127">
        <f t="shared" si="81"/>
        <v>450</v>
      </c>
      <c r="I104" s="130"/>
    </row>
    <row r="105" spans="1:9" s="126" customFormat="1" x14ac:dyDescent="0.2">
      <c r="A105" s="28">
        <f>IF(F105&lt;&gt;"",1+MAX($A$7:A104),"")</f>
        <v>80</v>
      </c>
      <c r="B105" s="43" t="s">
        <v>197</v>
      </c>
      <c r="C105" s="96">
        <v>2</v>
      </c>
      <c r="D105" s="121">
        <v>0</v>
      </c>
      <c r="E105" s="96">
        <f t="shared" si="80"/>
        <v>2</v>
      </c>
      <c r="F105" s="23" t="s">
        <v>101</v>
      </c>
      <c r="G105" s="128">
        <v>200</v>
      </c>
      <c r="H105" s="127">
        <f t="shared" si="81"/>
        <v>400</v>
      </c>
      <c r="I105" s="130"/>
    </row>
    <row r="106" spans="1:9" s="126" customFormat="1" x14ac:dyDescent="0.2">
      <c r="A106" s="28">
        <f>IF(F106&lt;&gt;"",1+MAX($A$7:A105),"")</f>
        <v>81</v>
      </c>
      <c r="B106" s="43" t="s">
        <v>209</v>
      </c>
      <c r="C106" s="96">
        <v>2</v>
      </c>
      <c r="D106" s="121">
        <v>0</v>
      </c>
      <c r="E106" s="96">
        <f t="shared" si="80"/>
        <v>2</v>
      </c>
      <c r="F106" s="23" t="s">
        <v>101</v>
      </c>
      <c r="G106" s="128">
        <v>250</v>
      </c>
      <c r="H106" s="127">
        <f t="shared" si="81"/>
        <v>500</v>
      </c>
      <c r="I106" s="130"/>
    </row>
    <row r="107" spans="1:9" s="126" customFormat="1" x14ac:dyDescent="0.2">
      <c r="A107" s="28">
        <f>IF(F107&lt;&gt;"",1+MAX($A$7:A106),"")</f>
        <v>82</v>
      </c>
      <c r="B107" s="43" t="s">
        <v>210</v>
      </c>
      <c r="C107" s="96">
        <v>1</v>
      </c>
      <c r="D107" s="121">
        <v>0</v>
      </c>
      <c r="E107" s="96">
        <f t="shared" si="80"/>
        <v>1</v>
      </c>
      <c r="F107" s="23" t="s">
        <v>101</v>
      </c>
      <c r="G107" s="128">
        <v>250</v>
      </c>
      <c r="H107" s="127">
        <f t="shared" si="81"/>
        <v>250</v>
      </c>
      <c r="I107" s="130"/>
    </row>
    <row r="108" spans="1:9" s="126" customFormat="1" x14ac:dyDescent="0.2">
      <c r="A108" s="28">
        <f>IF(F108&lt;&gt;"",1+MAX($A$7:A107),"")</f>
        <v>83</v>
      </c>
      <c r="B108" s="43" t="s">
        <v>198</v>
      </c>
      <c r="C108" s="96">
        <v>21</v>
      </c>
      <c r="D108" s="121">
        <v>0</v>
      </c>
      <c r="E108" s="96">
        <f t="shared" si="80"/>
        <v>21</v>
      </c>
      <c r="F108" s="23" t="s">
        <v>101</v>
      </c>
      <c r="G108" s="128">
        <v>150</v>
      </c>
      <c r="H108" s="127">
        <f t="shared" si="81"/>
        <v>3150</v>
      </c>
      <c r="I108" s="130"/>
    </row>
    <row r="109" spans="1:9" s="126" customFormat="1" x14ac:dyDescent="0.2">
      <c r="A109" s="28">
        <f>IF(F109&lt;&gt;"",1+MAX($A$7:A108),"")</f>
        <v>84</v>
      </c>
      <c r="B109" s="43" t="s">
        <v>199</v>
      </c>
      <c r="C109" s="96">
        <v>1</v>
      </c>
      <c r="D109" s="121">
        <v>0</v>
      </c>
      <c r="E109" s="96">
        <f t="shared" si="80"/>
        <v>1</v>
      </c>
      <c r="F109" s="23" t="s">
        <v>101</v>
      </c>
      <c r="G109" s="128">
        <v>150</v>
      </c>
      <c r="H109" s="127">
        <f t="shared" si="81"/>
        <v>150</v>
      </c>
      <c r="I109" s="130"/>
    </row>
    <row r="110" spans="1:9" s="126" customFormat="1" x14ac:dyDescent="0.2">
      <c r="A110" s="28">
        <f>IF(F110&lt;&gt;"",1+MAX($A$7:A109),"")</f>
        <v>85</v>
      </c>
      <c r="B110" s="43" t="s">
        <v>200</v>
      </c>
      <c r="C110" s="96">
        <v>5</v>
      </c>
      <c r="D110" s="121">
        <v>0</v>
      </c>
      <c r="E110" s="96">
        <f t="shared" si="80"/>
        <v>5</v>
      </c>
      <c r="F110" s="23" t="s">
        <v>101</v>
      </c>
      <c r="G110" s="128">
        <v>150</v>
      </c>
      <c r="H110" s="127">
        <f t="shared" si="81"/>
        <v>750</v>
      </c>
      <c r="I110" s="130"/>
    </row>
    <row r="111" spans="1:9" s="126" customFormat="1" x14ac:dyDescent="0.2">
      <c r="A111" s="28">
        <f>IF(F111&lt;&gt;"",1+MAX($A$7:A110),"")</f>
        <v>86</v>
      </c>
      <c r="B111" s="43" t="s">
        <v>201</v>
      </c>
      <c r="C111" s="96">
        <v>2</v>
      </c>
      <c r="D111" s="121">
        <v>0</v>
      </c>
      <c r="E111" s="96">
        <f t="shared" si="80"/>
        <v>2</v>
      </c>
      <c r="F111" s="23" t="s">
        <v>101</v>
      </c>
      <c r="G111" s="128">
        <v>550</v>
      </c>
      <c r="H111" s="127">
        <f t="shared" si="81"/>
        <v>1100</v>
      </c>
      <c r="I111" s="130"/>
    </row>
    <row r="112" spans="1:9" s="126" customFormat="1" x14ac:dyDescent="0.2">
      <c r="A112" s="28">
        <f>IF(F112&lt;&gt;"",1+MAX($A$7:A111),"")</f>
        <v>87</v>
      </c>
      <c r="B112" s="43" t="s">
        <v>202</v>
      </c>
      <c r="C112" s="96">
        <v>3</v>
      </c>
      <c r="D112" s="121">
        <v>0</v>
      </c>
      <c r="E112" s="96">
        <f t="shared" si="80"/>
        <v>3</v>
      </c>
      <c r="F112" s="23" t="s">
        <v>101</v>
      </c>
      <c r="G112" s="128">
        <v>350</v>
      </c>
      <c r="H112" s="127">
        <f t="shared" si="81"/>
        <v>1050</v>
      </c>
      <c r="I112" s="130"/>
    </row>
    <row r="113" spans="1:9" s="126" customFormat="1" x14ac:dyDescent="0.2">
      <c r="A113" s="28">
        <f>IF(F113&lt;&gt;"",1+MAX($A$7:A112),"")</f>
        <v>88</v>
      </c>
      <c r="B113" s="43" t="s">
        <v>203</v>
      </c>
      <c r="C113" s="96">
        <v>4</v>
      </c>
      <c r="D113" s="121">
        <v>0</v>
      </c>
      <c r="E113" s="96">
        <f t="shared" si="80"/>
        <v>4</v>
      </c>
      <c r="F113" s="23" t="s">
        <v>101</v>
      </c>
      <c r="G113" s="128">
        <v>300</v>
      </c>
      <c r="H113" s="127">
        <f t="shared" si="81"/>
        <v>1200</v>
      </c>
      <c r="I113" s="130"/>
    </row>
    <row r="114" spans="1:9" s="126" customFormat="1" x14ac:dyDescent="0.2">
      <c r="A114" s="28">
        <f>IF(F114&lt;&gt;"",1+MAX($A$7:A113),"")</f>
        <v>89</v>
      </c>
      <c r="B114" s="43" t="s">
        <v>204</v>
      </c>
      <c r="C114" s="96">
        <v>1</v>
      </c>
      <c r="D114" s="121">
        <v>0</v>
      </c>
      <c r="E114" s="96">
        <f t="shared" si="80"/>
        <v>1</v>
      </c>
      <c r="F114" s="23" t="s">
        <v>101</v>
      </c>
      <c r="G114" s="128">
        <v>650</v>
      </c>
      <c r="H114" s="127">
        <f t="shared" si="81"/>
        <v>650</v>
      </c>
      <c r="I114" s="130"/>
    </row>
    <row r="115" spans="1:9" s="126" customFormat="1" x14ac:dyDescent="0.2">
      <c r="A115" s="28">
        <f>IF(F115&lt;&gt;"",1+MAX($A$7:A114),"")</f>
        <v>90</v>
      </c>
      <c r="B115" s="43" t="s">
        <v>205</v>
      </c>
      <c r="C115" s="96">
        <v>1</v>
      </c>
      <c r="D115" s="121">
        <v>0</v>
      </c>
      <c r="E115" s="96">
        <f t="shared" si="80"/>
        <v>1</v>
      </c>
      <c r="F115" s="23" t="s">
        <v>101</v>
      </c>
      <c r="G115" s="128">
        <v>2000</v>
      </c>
      <c r="H115" s="127">
        <f t="shared" si="81"/>
        <v>2000</v>
      </c>
      <c r="I115" s="130"/>
    </row>
    <row r="116" spans="1:9" s="126" customFormat="1" x14ac:dyDescent="0.2">
      <c r="A116" s="28">
        <f>IF(F116&lt;&gt;"",1+MAX($A$7:A115),"")</f>
        <v>91</v>
      </c>
      <c r="B116" s="43" t="s">
        <v>206</v>
      </c>
      <c r="C116" s="96">
        <v>1</v>
      </c>
      <c r="D116" s="121">
        <v>0</v>
      </c>
      <c r="E116" s="96">
        <f t="shared" si="80"/>
        <v>1</v>
      </c>
      <c r="F116" s="23" t="s">
        <v>101</v>
      </c>
      <c r="G116" s="128">
        <v>300</v>
      </c>
      <c r="H116" s="127">
        <f t="shared" si="81"/>
        <v>300</v>
      </c>
      <c r="I116" s="130"/>
    </row>
    <row r="117" spans="1:9" s="126" customFormat="1" x14ac:dyDescent="0.2">
      <c r="A117" s="28">
        <f>IF(F117&lt;&gt;"",1+MAX($A$7:A116),"")</f>
        <v>92</v>
      </c>
      <c r="B117" s="43" t="s">
        <v>207</v>
      </c>
      <c r="C117" s="96">
        <v>1</v>
      </c>
      <c r="D117" s="121">
        <v>0.1</v>
      </c>
      <c r="E117" s="96">
        <f t="shared" si="80"/>
        <v>1.1000000000000001</v>
      </c>
      <c r="F117" s="23" t="s">
        <v>211</v>
      </c>
      <c r="G117" s="128">
        <v>8000</v>
      </c>
      <c r="H117" s="127">
        <f t="shared" si="81"/>
        <v>8800</v>
      </c>
      <c r="I117" s="130"/>
    </row>
    <row r="118" spans="1:9" s="126" customFormat="1" ht="31.5" x14ac:dyDescent="0.2">
      <c r="A118" s="28">
        <f>IF(F118&lt;&gt;"",1+MAX($A$7:A117),"")</f>
        <v>93</v>
      </c>
      <c r="B118" s="43" t="s">
        <v>208</v>
      </c>
      <c r="C118" s="96">
        <v>9</v>
      </c>
      <c r="D118" s="121">
        <v>0</v>
      </c>
      <c r="E118" s="96">
        <f t="shared" si="80"/>
        <v>9</v>
      </c>
      <c r="F118" s="23" t="s">
        <v>101</v>
      </c>
      <c r="G118" s="128">
        <v>400</v>
      </c>
      <c r="H118" s="127">
        <f t="shared" si="81"/>
        <v>3600</v>
      </c>
      <c r="I118" s="130"/>
    </row>
    <row r="119" spans="1:9" s="126" customFormat="1" ht="16.5" thickBot="1" x14ac:dyDescent="0.25">
      <c r="A119" s="28">
        <f>IF(F119&lt;&gt;"",1+MAX($A$7:A118),"")</f>
        <v>94</v>
      </c>
      <c r="B119" s="43" t="s">
        <v>212</v>
      </c>
      <c r="C119" s="96">
        <v>12</v>
      </c>
      <c r="D119" s="121">
        <v>0</v>
      </c>
      <c r="E119" s="96">
        <f t="shared" ref="E119" si="82">C119*(1+D119)</f>
        <v>12</v>
      </c>
      <c r="F119" s="23" t="s">
        <v>101</v>
      </c>
      <c r="G119" s="128">
        <v>350</v>
      </c>
      <c r="H119" s="127">
        <f t="shared" ref="H119" si="83">G119*E119</f>
        <v>4200</v>
      </c>
      <c r="I119" s="130"/>
    </row>
    <row r="120" spans="1:9" ht="16.5" thickBot="1" x14ac:dyDescent="0.25">
      <c r="A120" s="149" t="s">
        <v>67</v>
      </c>
      <c r="B120" s="150"/>
      <c r="C120" s="151"/>
      <c r="D120" s="151"/>
      <c r="E120" s="151"/>
      <c r="F120" s="152"/>
      <c r="G120" s="150"/>
      <c r="H120" s="153">
        <f>SUM(H7:H119)</f>
        <v>155603.05399259258</v>
      </c>
      <c r="I120" s="153">
        <f>SUM(I7:I119)</f>
        <v>155603.05399259261</v>
      </c>
    </row>
    <row r="121" spans="1:9" ht="16.5" thickBot="1" x14ac:dyDescent="0.25">
      <c r="A121" s="149"/>
      <c r="B121" s="150" t="s">
        <v>213</v>
      </c>
      <c r="C121" s="151"/>
      <c r="D121" s="151"/>
      <c r="E121" s="151"/>
      <c r="F121" s="152"/>
      <c r="G121" s="150"/>
      <c r="H121" s="153">
        <v>22500</v>
      </c>
      <c r="I121" s="153">
        <v>22500</v>
      </c>
    </row>
    <row r="122" spans="1:9" ht="16.5" thickBot="1" x14ac:dyDescent="0.25">
      <c r="A122" s="149" t="s">
        <v>96</v>
      </c>
      <c r="B122" s="150"/>
      <c r="C122" s="151"/>
      <c r="D122" s="151"/>
      <c r="E122" s="151"/>
      <c r="F122" s="152"/>
      <c r="G122" s="154">
        <v>0.25</v>
      </c>
      <c r="H122" s="153">
        <f>G122*H120</f>
        <v>38900.763498148146</v>
      </c>
      <c r="I122" s="155">
        <f>G122*I120</f>
        <v>38900.763498148153</v>
      </c>
    </row>
    <row r="123" spans="1:9" x14ac:dyDescent="0.2">
      <c r="A123" s="156" t="s">
        <v>68</v>
      </c>
      <c r="B123" s="157"/>
      <c r="C123" s="158"/>
      <c r="D123" s="158"/>
      <c r="E123" s="158"/>
      <c r="F123" s="159"/>
      <c r="G123" s="157"/>
      <c r="H123" s="160">
        <f>SUM(H120:H122)</f>
        <v>217003.81749074074</v>
      </c>
      <c r="I123" s="161">
        <f>SUM(I120:I122)</f>
        <v>217003.81749074077</v>
      </c>
    </row>
    <row r="124" spans="1:9" s="126" customFormat="1" x14ac:dyDescent="0.2">
      <c r="A124" s="28"/>
      <c r="B124" s="43"/>
      <c r="C124" s="96"/>
      <c r="D124" s="121"/>
      <c r="E124" s="96"/>
      <c r="F124" s="23"/>
      <c r="G124" s="128"/>
      <c r="H124" s="127"/>
      <c r="I124" s="130"/>
    </row>
    <row r="125" spans="1:9" s="126" customFormat="1" x14ac:dyDescent="0.2">
      <c r="A125" s="28"/>
      <c r="B125" s="43"/>
      <c r="C125" s="96"/>
      <c r="D125" s="121"/>
      <c r="E125" s="96"/>
      <c r="F125" s="23"/>
      <c r="G125" s="128"/>
      <c r="H125" s="127"/>
      <c r="I125" s="130"/>
    </row>
    <row r="126" spans="1:9" s="126" customFormat="1" ht="47.25" x14ac:dyDescent="0.2">
      <c r="A126" s="28"/>
      <c r="B126" s="43" t="s">
        <v>217</v>
      </c>
      <c r="C126" s="96"/>
      <c r="D126" s="121"/>
      <c r="E126" s="96"/>
      <c r="F126" s="23"/>
      <c r="G126" s="128"/>
      <c r="H126" s="127"/>
      <c r="I126" s="130"/>
    </row>
    <row r="127" spans="1:9" s="126" customFormat="1" x14ac:dyDescent="0.2">
      <c r="A127" s="28"/>
      <c r="B127" s="43"/>
      <c r="C127" s="96"/>
      <c r="D127" s="121"/>
      <c r="E127" s="96"/>
      <c r="F127" s="23"/>
      <c r="G127" s="128"/>
      <c r="H127" s="127"/>
      <c r="I127" s="130"/>
    </row>
    <row r="128" spans="1:9" s="126" customFormat="1" ht="45.75" customHeight="1" x14ac:dyDescent="0.2">
      <c r="A128" s="167" t="s">
        <v>99</v>
      </c>
      <c r="B128" s="168"/>
      <c r="C128" s="168"/>
      <c r="D128" s="168"/>
      <c r="E128" s="168"/>
      <c r="F128" s="168"/>
      <c r="G128" s="168"/>
      <c r="H128" s="168"/>
      <c r="I128" s="169"/>
    </row>
    <row r="129" spans="1:9" s="126" customFormat="1" ht="45.75" customHeight="1" x14ac:dyDescent="0.2">
      <c r="A129" s="167" t="s">
        <v>100</v>
      </c>
      <c r="B129" s="168"/>
      <c r="C129" s="168"/>
      <c r="D129" s="168"/>
      <c r="E129" s="168"/>
      <c r="F129" s="168"/>
      <c r="G129" s="168"/>
      <c r="H129" s="168"/>
      <c r="I129" s="169"/>
    </row>
  </sheetData>
  <sheetProtection algorithmName="SHA-512" hashValue="/fVUeHUUkb2kWHU4qvdqtaBVZWaPNCjcky2L2BSQy6cTHZ28vm6380wtqPRUiOC1pjw+MtKyVz0sc0rfzLU5Rw==" saltValue="6aYjtq2Hp7jIaRbZzz3m3w==" spinCount="100000" sheet="1" objects="1" scenarios="1" selectLockedCells="1" selectUnlockedCells="1"/>
  <mergeCells count="3">
    <mergeCell ref="A128:I128"/>
    <mergeCell ref="A129:I129"/>
    <mergeCell ref="B1:B4"/>
  </mergeCells>
  <printOptions horizontalCentered="1"/>
  <pageMargins left="0.7" right="0.7" top="0.5" bottom="0.5" header="0.3" footer="0.3"/>
  <pageSetup paperSize="9" scale="26" orientation="portrait" r:id="rId1"/>
  <rowBreaks count="1" manualBreakCount="1">
    <brk id="129" max="8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view="pageBreakPreview" zoomScale="85" zoomScaleNormal="85" zoomScaleSheetLayoutView="85" workbookViewId="0">
      <pane ySplit="7" topLeftCell="A8" activePane="bottomLeft" state="frozen"/>
      <selection pane="bottomLeft" activeCell="E15" sqref="E15"/>
    </sheetView>
  </sheetViews>
  <sheetFormatPr defaultColWidth="9.6640625" defaultRowHeight="15.75" x14ac:dyDescent="0.2"/>
  <cols>
    <col min="1" max="1" width="7.109375" style="23" customWidth="1"/>
    <col min="2" max="2" width="8.109375" style="23" customWidth="1"/>
    <col min="3" max="3" width="38.33203125" style="67" customWidth="1"/>
    <col min="4" max="5" width="8.109375" style="68" customWidth="1"/>
    <col min="6" max="6" width="13.21875" style="68" customWidth="1"/>
    <col min="7" max="7" width="6.5546875" style="23" customWidth="1"/>
    <col min="8" max="8" width="10.5546875" style="67" customWidth="1"/>
    <col min="9" max="9" width="11.109375" style="66" customWidth="1"/>
    <col min="10" max="10" width="36.109375" style="64" bestFit="1" customWidth="1"/>
    <col min="11" max="16384" width="9.6640625" style="64"/>
  </cols>
  <sheetData>
    <row r="1" spans="1:16" x14ac:dyDescent="0.2">
      <c r="C1" s="60"/>
      <c r="D1" s="61"/>
      <c r="E1" s="61"/>
      <c r="F1" s="61"/>
      <c r="G1" s="61"/>
      <c r="H1" s="62"/>
      <c r="I1" s="63"/>
    </row>
    <row r="2" spans="1:16" x14ac:dyDescent="0.2">
      <c r="C2" s="65" t="s">
        <v>6</v>
      </c>
      <c r="D2" s="60" t="s">
        <v>10</v>
      </c>
      <c r="E2" s="61"/>
      <c r="F2" s="61"/>
      <c r="G2" s="61"/>
      <c r="H2" s="64"/>
      <c r="I2" s="63"/>
    </row>
    <row r="3" spans="1:16" x14ac:dyDescent="0.2">
      <c r="C3" s="65" t="s">
        <v>7</v>
      </c>
      <c r="D3" s="60" t="s">
        <v>71</v>
      </c>
      <c r="E3" s="61"/>
      <c r="F3" s="61"/>
      <c r="G3" s="61"/>
      <c r="H3" s="64"/>
      <c r="I3" s="63"/>
    </row>
    <row r="4" spans="1:16" x14ac:dyDescent="0.2">
      <c r="C4" s="64"/>
      <c r="D4" s="60" t="s">
        <v>72</v>
      </c>
      <c r="E4" s="61"/>
      <c r="F4" s="61"/>
      <c r="G4" s="61"/>
      <c r="H4" s="64"/>
      <c r="I4" s="63"/>
    </row>
    <row r="5" spans="1:16" x14ac:dyDescent="0.2">
      <c r="C5" s="61"/>
      <c r="D5" s="61"/>
      <c r="E5" s="61"/>
      <c r="F5" s="61"/>
      <c r="H5" s="60"/>
    </row>
    <row r="6" spans="1:16" x14ac:dyDescent="0.2">
      <c r="G6" s="64"/>
      <c r="H6" s="69" t="s">
        <v>1</v>
      </c>
      <c r="I6" s="70">
        <f ca="1">TODAY()</f>
        <v>45121</v>
      </c>
    </row>
    <row r="7" spans="1:16" s="74" customFormat="1" x14ac:dyDescent="0.2">
      <c r="A7" s="24" t="s">
        <v>5</v>
      </c>
      <c r="B7" s="118" t="s">
        <v>94</v>
      </c>
      <c r="C7" s="71" t="s">
        <v>2</v>
      </c>
      <c r="D7" s="71" t="s">
        <v>8</v>
      </c>
      <c r="E7" s="71" t="s">
        <v>69</v>
      </c>
      <c r="F7" s="71" t="s">
        <v>70</v>
      </c>
      <c r="G7" s="72" t="s">
        <v>0</v>
      </c>
      <c r="H7" s="71" t="s">
        <v>3</v>
      </c>
      <c r="I7" s="73" t="s">
        <v>4</v>
      </c>
      <c r="L7" s="172" t="s">
        <v>80</v>
      </c>
      <c r="M7" s="172"/>
    </row>
    <row r="8" spans="1:16" x14ac:dyDescent="0.2">
      <c r="A8" s="58"/>
      <c r="B8" s="119"/>
      <c r="C8" s="75" t="s">
        <v>39</v>
      </c>
      <c r="D8" s="76"/>
      <c r="E8" s="76"/>
      <c r="F8" s="76"/>
      <c r="G8" s="77"/>
      <c r="H8" s="78"/>
      <c r="I8" s="79"/>
      <c r="L8" s="80" t="s">
        <v>78</v>
      </c>
      <c r="M8" s="80" t="s">
        <v>79</v>
      </c>
    </row>
    <row r="9" spans="1:16" ht="31.5" x14ac:dyDescent="0.2">
      <c r="A9" s="59">
        <v>1</v>
      </c>
      <c r="B9" s="84" t="s">
        <v>77</v>
      </c>
      <c r="C9" s="81" t="s">
        <v>82</v>
      </c>
      <c r="D9" s="82">
        <v>11635</v>
      </c>
      <c r="E9" s="83">
        <v>0.1</v>
      </c>
      <c r="F9" s="82">
        <f>D9*(1+E9)</f>
        <v>12798.500000000002</v>
      </c>
      <c r="G9" s="84" t="s">
        <v>21</v>
      </c>
      <c r="H9" s="85">
        <v>4</v>
      </c>
      <c r="I9" s="86">
        <f>H9*F9</f>
        <v>51194.000000000007</v>
      </c>
      <c r="J9" s="64" t="s">
        <v>52</v>
      </c>
      <c r="K9" s="23" t="s">
        <v>13</v>
      </c>
      <c r="L9" s="80">
        <f>2520-80</f>
        <v>2440</v>
      </c>
      <c r="M9" s="80">
        <v>280</v>
      </c>
      <c r="N9" s="64">
        <f>(2440*2+290*2+2345+3830)</f>
        <v>11635</v>
      </c>
    </row>
    <row r="10" spans="1:16" ht="31.5" x14ac:dyDescent="0.2">
      <c r="A10" s="28">
        <v>2</v>
      </c>
      <c r="B10" s="23" t="s">
        <v>77</v>
      </c>
      <c r="C10" s="87" t="s">
        <v>83</v>
      </c>
      <c r="D10" s="88">
        <v>1185</v>
      </c>
      <c r="E10" s="89">
        <v>0.1</v>
      </c>
      <c r="F10" s="88">
        <f>D10*(1+E10)</f>
        <v>1303.5</v>
      </c>
      <c r="G10" s="23" t="s">
        <v>21</v>
      </c>
      <c r="H10" s="90">
        <v>4.5</v>
      </c>
      <c r="I10" s="91">
        <f>H10*F10</f>
        <v>5865.75</v>
      </c>
      <c r="J10" s="64" t="s">
        <v>53</v>
      </c>
      <c r="K10" s="23" t="s">
        <v>14</v>
      </c>
      <c r="L10" s="80">
        <f>210-80</f>
        <v>130</v>
      </c>
      <c r="M10" s="80">
        <v>80</v>
      </c>
      <c r="N10" s="64">
        <f>(280*2+325+300)</f>
        <v>1185</v>
      </c>
    </row>
    <row r="11" spans="1:16" ht="31.5" x14ac:dyDescent="0.2">
      <c r="A11" s="28">
        <v>3</v>
      </c>
      <c r="B11" s="23" t="s">
        <v>77</v>
      </c>
      <c r="C11" s="87" t="s">
        <v>84</v>
      </c>
      <c r="D11" s="88">
        <v>260</v>
      </c>
      <c r="E11" s="89">
        <v>0.1</v>
      </c>
      <c r="F11" s="88">
        <f t="shared" ref="F11:F19" si="0">D11*(1+E11)</f>
        <v>286</v>
      </c>
      <c r="G11" s="23" t="s">
        <v>21</v>
      </c>
      <c r="H11" s="90">
        <v>4.5</v>
      </c>
      <c r="I11" s="91">
        <f>H11*F11</f>
        <v>1287</v>
      </c>
      <c r="J11" s="64" t="s">
        <v>14</v>
      </c>
      <c r="K11" s="23" t="s">
        <v>41</v>
      </c>
      <c r="L11" s="80"/>
      <c r="M11" s="80"/>
      <c r="N11" s="64">
        <f>130*2</f>
        <v>260</v>
      </c>
    </row>
    <row r="12" spans="1:16" ht="31.5" x14ac:dyDescent="0.2">
      <c r="A12" s="28">
        <v>4</v>
      </c>
      <c r="B12" s="23" t="s">
        <v>77</v>
      </c>
      <c r="C12" s="92" t="s">
        <v>85</v>
      </c>
      <c r="D12" s="88">
        <v>160</v>
      </c>
      <c r="E12" s="89">
        <v>0.1</v>
      </c>
      <c r="F12" s="88">
        <f t="shared" si="0"/>
        <v>176</v>
      </c>
      <c r="G12" s="23" t="s">
        <v>21</v>
      </c>
      <c r="H12" s="90">
        <v>5</v>
      </c>
      <c r="I12" s="91">
        <f t="shared" ref="I12:I16" si="1">H12*F12</f>
        <v>880</v>
      </c>
      <c r="J12" s="64" t="s">
        <v>14</v>
      </c>
      <c r="K12" s="23" t="s">
        <v>15</v>
      </c>
      <c r="L12" s="80">
        <v>290</v>
      </c>
      <c r="M12" s="80"/>
      <c r="N12" s="64">
        <f>80*2</f>
        <v>160</v>
      </c>
    </row>
    <row r="13" spans="1:16" s="95" customFormat="1" ht="31.5" x14ac:dyDescent="0.2">
      <c r="A13" s="28">
        <v>5</v>
      </c>
      <c r="B13" s="23" t="s">
        <v>77</v>
      </c>
      <c r="C13" s="87" t="s">
        <v>86</v>
      </c>
      <c r="D13" s="88">
        <v>300</v>
      </c>
      <c r="E13" s="89">
        <v>0.1</v>
      </c>
      <c r="F13" s="88">
        <f t="shared" si="0"/>
        <v>330</v>
      </c>
      <c r="G13" s="23" t="s">
        <v>21</v>
      </c>
      <c r="H13" s="90">
        <v>4</v>
      </c>
      <c r="I13" s="91">
        <f>H13*F13</f>
        <v>1320</v>
      </c>
      <c r="J13" s="93" t="s">
        <v>18</v>
      </c>
      <c r="K13" s="23" t="s">
        <v>16</v>
      </c>
      <c r="L13" s="80">
        <v>1200</v>
      </c>
      <c r="M13" s="94"/>
      <c r="N13" s="95">
        <f>150*2</f>
        <v>300</v>
      </c>
    </row>
    <row r="14" spans="1:16" s="95" customFormat="1" x14ac:dyDescent="0.2">
      <c r="A14" s="28">
        <v>6</v>
      </c>
      <c r="B14" s="23" t="s">
        <v>74</v>
      </c>
      <c r="C14" s="87" t="s">
        <v>31</v>
      </c>
      <c r="D14" s="88">
        <v>14740</v>
      </c>
      <c r="E14" s="89">
        <v>0.1</v>
      </c>
      <c r="F14" s="88">
        <f t="shared" si="0"/>
        <v>16214.000000000002</v>
      </c>
      <c r="G14" s="23" t="s">
        <v>21</v>
      </c>
      <c r="H14" s="90">
        <v>4</v>
      </c>
      <c r="I14" s="91">
        <f>H14*F14</f>
        <v>64856.000000000007</v>
      </c>
      <c r="J14" s="64" t="s">
        <v>32</v>
      </c>
      <c r="K14" s="23" t="s">
        <v>17</v>
      </c>
      <c r="L14" s="80">
        <f>2670-325</f>
        <v>2345</v>
      </c>
      <c r="M14" s="80">
        <v>325</v>
      </c>
      <c r="N14" s="95">
        <f>SUM(N9:N13)+L13</f>
        <v>14740</v>
      </c>
      <c r="O14" s="95">
        <f>SUM(L9:M10)*2+L13+SUM(L14:M14)+L15*2+SUM(L17:M17)+L12*2</f>
        <v>14740</v>
      </c>
      <c r="P14" s="95">
        <f>N14-O14</f>
        <v>0</v>
      </c>
    </row>
    <row r="15" spans="1:16" s="95" customFormat="1" x14ac:dyDescent="0.2">
      <c r="A15" s="28">
        <v>7</v>
      </c>
      <c r="B15" s="23" t="s">
        <v>89</v>
      </c>
      <c r="C15" s="87" t="s">
        <v>75</v>
      </c>
      <c r="D15" s="88">
        <v>5750</v>
      </c>
      <c r="E15" s="89">
        <v>0.1</v>
      </c>
      <c r="F15" s="88">
        <f t="shared" si="0"/>
        <v>6325.0000000000009</v>
      </c>
      <c r="G15" s="23" t="s">
        <v>21</v>
      </c>
      <c r="H15" s="90">
        <v>2.5</v>
      </c>
      <c r="I15" s="91">
        <f>H15*F15</f>
        <v>15812.500000000002</v>
      </c>
      <c r="J15" s="64" t="s">
        <v>34</v>
      </c>
      <c r="K15" s="23" t="s">
        <v>18</v>
      </c>
      <c r="L15" s="80">
        <v>150</v>
      </c>
      <c r="M15" s="94"/>
      <c r="N15" s="95">
        <f>SUM(L9:M10)+SUM(L14:M15)</f>
        <v>5750</v>
      </c>
    </row>
    <row r="16" spans="1:16" s="95" customFormat="1" x14ac:dyDescent="0.2">
      <c r="A16" s="28">
        <v>8</v>
      </c>
      <c r="B16" s="23" t="s">
        <v>90</v>
      </c>
      <c r="C16" s="87" t="s">
        <v>76</v>
      </c>
      <c r="D16" s="96">
        <v>290</v>
      </c>
      <c r="E16" s="89">
        <v>0.1</v>
      </c>
      <c r="F16" s="88">
        <f t="shared" si="0"/>
        <v>319</v>
      </c>
      <c r="G16" s="23" t="s">
        <v>21</v>
      </c>
      <c r="H16" s="90">
        <v>2</v>
      </c>
      <c r="I16" s="91">
        <f t="shared" si="1"/>
        <v>638</v>
      </c>
      <c r="J16" s="64" t="s">
        <v>15</v>
      </c>
      <c r="K16" s="23" t="s">
        <v>19</v>
      </c>
      <c r="L16" s="80">
        <v>20</v>
      </c>
      <c r="M16" s="94"/>
    </row>
    <row r="17" spans="1:14" s="95" customFormat="1" x14ac:dyDescent="0.2">
      <c r="A17" s="28">
        <v>8</v>
      </c>
      <c r="B17" s="23" t="s">
        <v>91</v>
      </c>
      <c r="C17" s="87" t="s">
        <v>92</v>
      </c>
      <c r="D17" s="96">
        <v>4130</v>
      </c>
      <c r="E17" s="89">
        <v>0.1</v>
      </c>
      <c r="F17" s="88">
        <f t="shared" si="0"/>
        <v>4543</v>
      </c>
      <c r="G17" s="23" t="s">
        <v>21</v>
      </c>
      <c r="H17" s="90">
        <v>3</v>
      </c>
      <c r="I17" s="91">
        <f>H17*F17</f>
        <v>13629</v>
      </c>
      <c r="J17" s="64"/>
      <c r="K17" s="23" t="s">
        <v>20</v>
      </c>
      <c r="L17" s="80">
        <v>3830</v>
      </c>
      <c r="M17" s="94">
        <v>300</v>
      </c>
      <c r="N17" s="95">
        <f>SUM(L17:M17)</f>
        <v>4130</v>
      </c>
    </row>
    <row r="18" spans="1:14" s="95" customFormat="1" x14ac:dyDescent="0.2">
      <c r="A18" s="28">
        <v>9</v>
      </c>
      <c r="B18" s="23" t="s">
        <v>93</v>
      </c>
      <c r="C18" s="97" t="s">
        <v>87</v>
      </c>
      <c r="D18" s="96">
        <v>5600</v>
      </c>
      <c r="E18" s="89">
        <v>0.05</v>
      </c>
      <c r="F18" s="88">
        <f t="shared" si="0"/>
        <v>5880</v>
      </c>
      <c r="G18" s="23" t="s">
        <v>21</v>
      </c>
      <c r="H18" s="90">
        <v>2</v>
      </c>
      <c r="I18" s="91">
        <f>H18*F18</f>
        <v>11760</v>
      </c>
      <c r="J18" s="64" t="s">
        <v>37</v>
      </c>
      <c r="N18" s="95">
        <f>SUM(L9:M10)+SUM(L14:M14)</f>
        <v>5600</v>
      </c>
    </row>
    <row r="19" spans="1:14" s="95" customFormat="1" x14ac:dyDescent="0.2">
      <c r="A19" s="56">
        <v>10</v>
      </c>
      <c r="B19" s="102" t="s">
        <v>93</v>
      </c>
      <c r="C19" s="98" t="s">
        <v>88</v>
      </c>
      <c r="D19" s="99">
        <v>150</v>
      </c>
      <c r="E19" s="100">
        <v>0.1</v>
      </c>
      <c r="F19" s="101">
        <f t="shared" si="0"/>
        <v>165</v>
      </c>
      <c r="G19" s="102" t="s">
        <v>21</v>
      </c>
      <c r="H19" s="103">
        <v>2.2000000000000002</v>
      </c>
      <c r="I19" s="104">
        <f>H19*F19</f>
        <v>363.00000000000006</v>
      </c>
      <c r="J19" s="64" t="s">
        <v>18</v>
      </c>
      <c r="K19" s="23"/>
      <c r="L19" s="64"/>
      <c r="N19" s="95">
        <v>150</v>
      </c>
    </row>
    <row r="20" spans="1:14" ht="16.5" thickBot="1" x14ac:dyDescent="0.25">
      <c r="C20" s="43"/>
      <c r="D20" s="96"/>
      <c r="E20" s="96"/>
      <c r="F20" s="96"/>
      <c r="H20" s="90"/>
      <c r="I20" s="105"/>
    </row>
    <row r="21" spans="1:14" ht="16.5" thickBot="1" x14ac:dyDescent="0.25">
      <c r="A21" s="55" t="s">
        <v>67</v>
      </c>
      <c r="B21" s="120"/>
      <c r="C21" s="106"/>
      <c r="D21" s="107"/>
      <c r="E21" s="107"/>
      <c r="F21" s="107"/>
      <c r="G21" s="108"/>
      <c r="H21" s="109"/>
      <c r="I21" s="110">
        <f>SUM(I9:I19)</f>
        <v>167605.25000000003</v>
      </c>
    </row>
    <row r="22" spans="1:14" ht="16.5" thickBot="1" x14ac:dyDescent="0.25">
      <c r="A22" s="55" t="s">
        <v>73</v>
      </c>
      <c r="B22" s="120"/>
      <c r="C22" s="106"/>
      <c r="D22" s="107"/>
      <c r="E22" s="107"/>
      <c r="F22" s="107"/>
      <c r="G22" s="108"/>
      <c r="H22" s="109"/>
      <c r="I22" s="111">
        <f>(3/100)*I21</f>
        <v>5028.1575000000003</v>
      </c>
    </row>
    <row r="23" spans="1:14" ht="16.5" thickBot="1" x14ac:dyDescent="0.25">
      <c r="A23" s="55" t="s">
        <v>68</v>
      </c>
      <c r="B23" s="120"/>
      <c r="C23" s="106"/>
      <c r="D23" s="107"/>
      <c r="E23" s="107"/>
      <c r="F23" s="107"/>
      <c r="G23" s="108"/>
      <c r="H23" s="109"/>
      <c r="I23" s="110">
        <f>SUM(I21:I22)</f>
        <v>172633.40750000003</v>
      </c>
    </row>
    <row r="24" spans="1:14" x14ac:dyDescent="0.2">
      <c r="A24" s="57"/>
      <c r="B24" s="57"/>
      <c r="C24" s="64"/>
      <c r="D24" s="112"/>
      <c r="E24" s="112"/>
      <c r="F24" s="112"/>
      <c r="H24" s="113"/>
      <c r="I24" s="114"/>
    </row>
    <row r="25" spans="1:14" x14ac:dyDescent="0.2">
      <c r="C25" s="115" t="s">
        <v>61</v>
      </c>
    </row>
    <row r="26" spans="1:14" x14ac:dyDescent="0.2">
      <c r="B26" s="23">
        <v>1</v>
      </c>
      <c r="C26" s="67" t="s">
        <v>62</v>
      </c>
      <c r="J26" s="116"/>
    </row>
    <row r="27" spans="1:14" x14ac:dyDescent="0.2">
      <c r="B27" s="23">
        <v>2</v>
      </c>
      <c r="C27" s="67" t="s">
        <v>63</v>
      </c>
    </row>
    <row r="28" spans="1:14" x14ac:dyDescent="0.2">
      <c r="B28" s="23">
        <v>3</v>
      </c>
      <c r="C28" s="67" t="s">
        <v>64</v>
      </c>
    </row>
    <row r="29" spans="1:14" x14ac:dyDescent="0.2">
      <c r="B29" s="23">
        <v>4</v>
      </c>
      <c r="C29" s="45" t="s">
        <v>65</v>
      </c>
    </row>
    <row r="30" spans="1:14" x14ac:dyDescent="0.2">
      <c r="B30" s="23">
        <v>5</v>
      </c>
      <c r="C30" s="45" t="s">
        <v>66</v>
      </c>
    </row>
    <row r="31" spans="1:14" ht="31.5" x14ac:dyDescent="0.2">
      <c r="B31" s="23">
        <v>6</v>
      </c>
      <c r="C31" s="45" t="s">
        <v>81</v>
      </c>
    </row>
    <row r="32" spans="1:14" x14ac:dyDescent="0.2">
      <c r="C32" s="117"/>
    </row>
    <row r="33" spans="3:3" x14ac:dyDescent="0.2">
      <c r="C33" s="117"/>
    </row>
  </sheetData>
  <mergeCells count="1">
    <mergeCell ref="L7:M7"/>
  </mergeCells>
  <printOptions horizontalCentered="1"/>
  <pageMargins left="0.7" right="0.7" top="0.5" bottom="0.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view="pageBreakPreview" zoomScale="85" zoomScaleNormal="85" zoomScaleSheetLayoutView="85" workbookViewId="0">
      <pane ySplit="7" topLeftCell="A14" activePane="bottomLeft" state="frozen"/>
      <selection pane="bottomLeft" activeCell="H19" sqref="H19:J28"/>
    </sheetView>
  </sheetViews>
  <sheetFormatPr defaultColWidth="9.6640625" defaultRowHeight="15.75" x14ac:dyDescent="0.2"/>
  <cols>
    <col min="1" max="1" width="10" style="23" customWidth="1"/>
    <col min="2" max="2" width="27.88671875" style="8" customWidth="1"/>
    <col min="3" max="3" width="10.5546875" style="8" customWidth="1"/>
    <col min="4" max="4" width="8.109375" style="20" customWidth="1"/>
    <col min="5" max="5" width="6.5546875" style="6" customWidth="1"/>
    <col min="6" max="6" width="11.109375" style="7" customWidth="1"/>
    <col min="7" max="7" width="34.109375" style="5" customWidth="1"/>
    <col min="8" max="8" width="12" style="5" customWidth="1"/>
    <col min="9" max="10" width="9.6640625" style="5"/>
    <col min="11" max="11" width="10.6640625" style="5" customWidth="1"/>
    <col min="12" max="12" width="11.77734375" style="5" customWidth="1"/>
    <col min="13" max="13" width="10.6640625" style="5" customWidth="1"/>
    <col min="14" max="16384" width="9.6640625" style="5"/>
  </cols>
  <sheetData>
    <row r="1" spans="1:9" x14ac:dyDescent="0.2">
      <c r="B1" s="1"/>
      <c r="C1" s="2"/>
      <c r="D1" s="3"/>
      <c r="E1" s="3"/>
      <c r="F1" s="4"/>
    </row>
    <row r="2" spans="1:9" x14ac:dyDescent="0.2">
      <c r="B2" s="17" t="s">
        <v>6</v>
      </c>
      <c r="C2" s="1" t="s">
        <v>10</v>
      </c>
      <c r="D2" s="3"/>
      <c r="E2" s="3"/>
      <c r="F2" s="4"/>
    </row>
    <row r="3" spans="1:9" x14ac:dyDescent="0.2">
      <c r="B3" s="17" t="s">
        <v>7</v>
      </c>
      <c r="C3" s="1" t="s">
        <v>11</v>
      </c>
      <c r="D3" s="3"/>
      <c r="E3" s="3"/>
      <c r="F3" s="4"/>
    </row>
    <row r="4" spans="1:9" x14ac:dyDescent="0.2">
      <c r="B4" s="5"/>
      <c r="C4" s="1" t="s">
        <v>12</v>
      </c>
      <c r="D4" s="3"/>
      <c r="E4" s="3"/>
      <c r="F4" s="4"/>
    </row>
    <row r="5" spans="1:9" x14ac:dyDescent="0.2">
      <c r="B5" s="3"/>
      <c r="C5" s="1"/>
      <c r="D5" s="3"/>
    </row>
    <row r="6" spans="1:9" x14ac:dyDescent="0.2">
      <c r="E6" s="9" t="s">
        <v>1</v>
      </c>
      <c r="F6" s="10">
        <f ca="1">TODAY()</f>
        <v>45121</v>
      </c>
    </row>
    <row r="7" spans="1:9" s="11" customFormat="1" x14ac:dyDescent="0.2">
      <c r="A7" s="24" t="s">
        <v>5</v>
      </c>
      <c r="B7" s="25" t="s">
        <v>2</v>
      </c>
      <c r="C7" s="25" t="s">
        <v>3</v>
      </c>
      <c r="D7" s="25" t="s">
        <v>8</v>
      </c>
      <c r="E7" s="26" t="s">
        <v>0</v>
      </c>
      <c r="F7" s="27" t="s">
        <v>4</v>
      </c>
    </row>
    <row r="8" spans="1:9" x14ac:dyDescent="0.2">
      <c r="A8" s="35"/>
      <c r="B8" s="39" t="s">
        <v>39</v>
      </c>
      <c r="C8" s="14"/>
      <c r="D8" s="21"/>
      <c r="E8" s="15"/>
      <c r="F8" s="16"/>
      <c r="H8" s="30"/>
    </row>
    <row r="9" spans="1:9" ht="31.5" x14ac:dyDescent="0.2">
      <c r="A9" s="28">
        <v>1</v>
      </c>
      <c r="B9" s="49" t="s">
        <v>51</v>
      </c>
      <c r="C9" s="38"/>
      <c r="D9" s="40">
        <f>((2358+277+2077)-644)+3830</f>
        <v>7898</v>
      </c>
      <c r="E9" s="6" t="s">
        <v>21</v>
      </c>
      <c r="F9" s="18">
        <f>C9*D9</f>
        <v>0</v>
      </c>
      <c r="G9" s="5" t="s">
        <v>52</v>
      </c>
    </row>
    <row r="10" spans="1:9" ht="31.5" x14ac:dyDescent="0.2">
      <c r="A10" s="28">
        <v>2</v>
      </c>
      <c r="B10" s="31" t="s">
        <v>54</v>
      </c>
      <c r="C10" s="38"/>
      <c r="D10" s="40">
        <f>644+292</f>
        <v>936</v>
      </c>
      <c r="E10" s="6" t="s">
        <v>21</v>
      </c>
      <c r="F10" s="18">
        <f t="shared" ref="F10:F18" si="0">C10*D10</f>
        <v>0</v>
      </c>
      <c r="G10" s="5" t="s">
        <v>53</v>
      </c>
      <c r="I10" s="5" t="s">
        <v>59</v>
      </c>
    </row>
    <row r="11" spans="1:9" ht="31.5" x14ac:dyDescent="0.2">
      <c r="A11" s="28">
        <v>3</v>
      </c>
      <c r="B11" s="31" t="s">
        <v>29</v>
      </c>
      <c r="C11" s="19"/>
      <c r="D11" s="40">
        <f>206-78</f>
        <v>128</v>
      </c>
      <c r="E11" s="6" t="s">
        <v>21</v>
      </c>
      <c r="F11" s="18">
        <f t="shared" si="0"/>
        <v>0</v>
      </c>
      <c r="G11" s="5" t="s">
        <v>14</v>
      </c>
      <c r="I11" s="5" t="s">
        <v>60</v>
      </c>
    </row>
    <row r="12" spans="1:9" ht="47.25" x14ac:dyDescent="0.2">
      <c r="A12" s="28">
        <v>4</v>
      </c>
      <c r="B12" s="48" t="s">
        <v>55</v>
      </c>
      <c r="C12" s="19"/>
      <c r="D12" s="40">
        <v>78</v>
      </c>
      <c r="E12" s="6" t="s">
        <v>21</v>
      </c>
      <c r="F12" s="18">
        <f t="shared" si="0"/>
        <v>0</v>
      </c>
      <c r="G12" s="5" t="s">
        <v>14</v>
      </c>
      <c r="H12" s="34"/>
    </row>
    <row r="13" spans="1:9" s="34" customFormat="1" ht="31.5" x14ac:dyDescent="0.2">
      <c r="A13" s="28">
        <v>5</v>
      </c>
      <c r="B13" s="31" t="s">
        <v>30</v>
      </c>
      <c r="C13" s="33"/>
      <c r="D13" s="40">
        <v>148</v>
      </c>
      <c r="E13" s="6" t="s">
        <v>21</v>
      </c>
      <c r="F13" s="18">
        <f t="shared" si="0"/>
        <v>0</v>
      </c>
      <c r="G13" s="50" t="s">
        <v>18</v>
      </c>
    </row>
    <row r="14" spans="1:9" s="34" customFormat="1" ht="31.5" x14ac:dyDescent="0.2">
      <c r="A14" s="28">
        <v>6</v>
      </c>
      <c r="B14" s="31" t="s">
        <v>31</v>
      </c>
      <c r="C14" s="33"/>
      <c r="D14" s="40">
        <f>2538+206+277+1343+2077+148</f>
        <v>6589</v>
      </c>
      <c r="E14" s="6" t="s">
        <v>21</v>
      </c>
      <c r="F14" s="18">
        <f t="shared" si="0"/>
        <v>0</v>
      </c>
      <c r="G14" s="5" t="s">
        <v>32</v>
      </c>
    </row>
    <row r="15" spans="1:9" s="34" customFormat="1" x14ac:dyDescent="0.2">
      <c r="A15" s="28">
        <v>7</v>
      </c>
      <c r="B15" s="31" t="s">
        <v>33</v>
      </c>
      <c r="C15" s="33"/>
      <c r="D15" s="40">
        <v>4968</v>
      </c>
      <c r="E15" s="6" t="s">
        <v>21</v>
      </c>
      <c r="F15" s="18">
        <f t="shared" si="0"/>
        <v>0</v>
      </c>
      <c r="G15" s="5" t="s">
        <v>34</v>
      </c>
    </row>
    <row r="16" spans="1:9" s="34" customFormat="1" x14ac:dyDescent="0.2">
      <c r="A16" s="28">
        <v>8</v>
      </c>
      <c r="B16" s="31" t="s">
        <v>35</v>
      </c>
      <c r="C16" s="33"/>
      <c r="D16" s="29">
        <v>277</v>
      </c>
      <c r="E16" s="6" t="s">
        <v>21</v>
      </c>
      <c r="F16" s="18">
        <f t="shared" si="0"/>
        <v>0</v>
      </c>
      <c r="G16" s="5" t="s">
        <v>15</v>
      </c>
    </row>
    <row r="17" spans="1:11" s="34" customFormat="1" x14ac:dyDescent="0.2">
      <c r="A17" s="23">
        <v>9</v>
      </c>
      <c r="B17" s="47" t="s">
        <v>36</v>
      </c>
      <c r="C17" s="33"/>
      <c r="D17" s="29">
        <f>2538+206+2077</f>
        <v>4821</v>
      </c>
      <c r="E17" s="6" t="s">
        <v>21</v>
      </c>
      <c r="F17" s="18">
        <f t="shared" si="0"/>
        <v>0</v>
      </c>
      <c r="G17" s="5" t="s">
        <v>37</v>
      </c>
    </row>
    <row r="18" spans="1:11" s="34" customFormat="1" x14ac:dyDescent="0.2">
      <c r="A18" s="23">
        <v>10</v>
      </c>
      <c r="B18" s="47" t="s">
        <v>38</v>
      </c>
      <c r="C18" s="33"/>
      <c r="D18" s="29">
        <v>148</v>
      </c>
      <c r="E18" s="6" t="s">
        <v>21</v>
      </c>
      <c r="F18" s="18">
        <f t="shared" si="0"/>
        <v>0</v>
      </c>
      <c r="G18" s="5" t="s">
        <v>18</v>
      </c>
      <c r="H18" s="54" t="s">
        <v>42</v>
      </c>
    </row>
    <row r="19" spans="1:11" ht="16.5" thickBot="1" x14ac:dyDescent="0.25">
      <c r="B19" s="31"/>
      <c r="C19" s="19"/>
      <c r="D19" s="29"/>
      <c r="F19" s="18"/>
      <c r="H19" s="6" t="s">
        <v>13</v>
      </c>
      <c r="I19" s="30">
        <v>2538</v>
      </c>
      <c r="J19" s="5">
        <v>2520</v>
      </c>
    </row>
    <row r="20" spans="1:11" ht="16.5" thickBot="1" x14ac:dyDescent="0.25">
      <c r="A20" s="36" t="s">
        <v>9</v>
      </c>
      <c r="B20" s="13"/>
      <c r="C20" s="12"/>
      <c r="D20" s="22"/>
      <c r="E20" s="32"/>
      <c r="F20" s="37">
        <f>SUM(F9:F18)</f>
        <v>0</v>
      </c>
      <c r="H20" s="6" t="s">
        <v>14</v>
      </c>
      <c r="I20" s="30">
        <v>205</v>
      </c>
      <c r="J20" s="5">
        <v>206</v>
      </c>
    </row>
    <row r="21" spans="1:11" x14ac:dyDescent="0.2">
      <c r="B21" s="41" t="s">
        <v>61</v>
      </c>
      <c r="H21" s="6" t="s">
        <v>41</v>
      </c>
      <c r="I21" s="30" t="s">
        <v>43</v>
      </c>
    </row>
    <row r="22" spans="1:11" x14ac:dyDescent="0.2">
      <c r="A22" s="23">
        <v>1</v>
      </c>
      <c r="B22" s="8" t="s">
        <v>62</v>
      </c>
      <c r="G22" s="46"/>
      <c r="H22" s="6" t="s">
        <v>15</v>
      </c>
      <c r="I22" s="30">
        <v>277</v>
      </c>
      <c r="J22" s="5">
        <v>290</v>
      </c>
    </row>
    <row r="23" spans="1:11" x14ac:dyDescent="0.2">
      <c r="A23" s="23">
        <v>2</v>
      </c>
      <c r="B23" s="8" t="s">
        <v>63</v>
      </c>
      <c r="H23" s="6" t="s">
        <v>16</v>
      </c>
      <c r="I23" s="30">
        <v>1342</v>
      </c>
      <c r="J23" s="5">
        <v>1200</v>
      </c>
    </row>
    <row r="24" spans="1:11" x14ac:dyDescent="0.2">
      <c r="A24" s="23">
        <v>3</v>
      </c>
      <c r="B24" s="8" t="s">
        <v>64</v>
      </c>
      <c r="H24" s="6" t="s">
        <v>17</v>
      </c>
      <c r="I24" s="30">
        <v>2077</v>
      </c>
      <c r="J24" s="5">
        <v>2670</v>
      </c>
    </row>
    <row r="25" spans="1:11" x14ac:dyDescent="0.2">
      <c r="A25" s="23">
        <v>4</v>
      </c>
      <c r="B25" s="42" t="s">
        <v>65</v>
      </c>
      <c r="H25" s="6" t="s">
        <v>18</v>
      </c>
      <c r="I25" s="30">
        <v>148</v>
      </c>
      <c r="J25" s="5">
        <v>150</v>
      </c>
    </row>
    <row r="26" spans="1:11" x14ac:dyDescent="0.2">
      <c r="A26" s="23">
        <v>5</v>
      </c>
      <c r="B26" s="42" t="s">
        <v>66</v>
      </c>
      <c r="H26" s="6" t="s">
        <v>19</v>
      </c>
      <c r="I26" s="30">
        <v>22</v>
      </c>
      <c r="J26" s="5">
        <v>20</v>
      </c>
      <c r="K26" s="5" t="s">
        <v>45</v>
      </c>
    </row>
    <row r="27" spans="1:11" x14ac:dyDescent="0.2">
      <c r="A27" s="23">
        <v>6</v>
      </c>
      <c r="B27" s="51"/>
      <c r="H27" s="6" t="s">
        <v>20</v>
      </c>
      <c r="I27" s="30">
        <v>3830</v>
      </c>
    </row>
    <row r="28" spans="1:11" x14ac:dyDescent="0.2">
      <c r="B28" s="51"/>
      <c r="H28" s="6" t="s">
        <v>58</v>
      </c>
      <c r="I28" s="30">
        <v>292</v>
      </c>
    </row>
    <row r="29" spans="1:11" x14ac:dyDescent="0.2">
      <c r="B29" s="51"/>
      <c r="H29" s="6"/>
      <c r="I29" s="30"/>
    </row>
    <row r="30" spans="1:11" x14ac:dyDescent="0.2">
      <c r="B30" s="51"/>
      <c r="H30" s="6"/>
      <c r="I30" s="30"/>
    </row>
    <row r="31" spans="1:11" x14ac:dyDescent="0.2">
      <c r="B31" s="51" t="s">
        <v>22</v>
      </c>
      <c r="H31" s="6"/>
      <c r="I31" s="30"/>
    </row>
    <row r="32" spans="1:11" ht="18" customHeight="1" x14ac:dyDescent="0.2">
      <c r="B32" s="41" t="s">
        <v>23</v>
      </c>
      <c r="G32" s="44" t="s">
        <v>24</v>
      </c>
      <c r="H32" s="5" t="s">
        <v>44</v>
      </c>
    </row>
    <row r="33" spans="2:7" ht="173.25" x14ac:dyDescent="0.2">
      <c r="B33" s="8" t="s">
        <v>46</v>
      </c>
      <c r="G33" s="43" t="s">
        <v>47</v>
      </c>
    </row>
    <row r="35" spans="2:7" x14ac:dyDescent="0.2">
      <c r="B35" s="53" t="s">
        <v>25</v>
      </c>
      <c r="G35" s="46" t="s">
        <v>26</v>
      </c>
    </row>
    <row r="36" spans="2:7" ht="189" x14ac:dyDescent="0.2">
      <c r="B36" s="52" t="s">
        <v>56</v>
      </c>
      <c r="G36" s="45" t="s">
        <v>48</v>
      </c>
    </row>
    <row r="38" spans="2:7" x14ac:dyDescent="0.2">
      <c r="B38" s="41" t="s">
        <v>27</v>
      </c>
      <c r="G38" s="46" t="s">
        <v>28</v>
      </c>
    </row>
    <row r="39" spans="2:7" ht="94.5" x14ac:dyDescent="0.2">
      <c r="B39" s="8" t="s">
        <v>50</v>
      </c>
      <c r="G39" s="42" t="s">
        <v>49</v>
      </c>
    </row>
    <row r="40" spans="2:7" ht="31.5" x14ac:dyDescent="0.2">
      <c r="B40" s="41" t="s">
        <v>40</v>
      </c>
    </row>
    <row r="41" spans="2:7" ht="141.75" x14ac:dyDescent="0.2">
      <c r="B41" s="8" t="s">
        <v>57</v>
      </c>
    </row>
  </sheetData>
  <printOptions horizontalCentered="1"/>
  <pageMargins left="0.7" right="0.7" top="0.5" bottom="0.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DETAIL</vt:lpstr>
      <vt:lpstr>UJ</vt:lpstr>
      <vt:lpstr>DETAIL (2)</vt:lpstr>
      <vt:lpstr>DETAIL!Print_Area</vt:lpstr>
      <vt:lpstr>'DETAIL (2)'!Print_Area</vt:lpstr>
      <vt:lpstr>UJ!Print_Area</vt:lpstr>
      <vt:lpstr>DETAIL!Print_Titles</vt:lpstr>
      <vt:lpstr>'DETAIL (2)'!Print_Titles</vt:lpstr>
      <vt:lpstr>UJ!Print_Titles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2023-07-14T11:33:43Z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