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filterPrivacy="1" codeName="ThisWorkbook" defaultThemeVersion="124226"/>
  <xr:revisionPtr revIDLastSave="0" documentId="13_ncr:1_{47419CE6-413D-4EF7-BEFB-5460E37F039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TAIL" sheetId="11" r:id="rId1"/>
    <sheet name="UJ" sheetId="13" state="hidden" r:id="rId2"/>
    <sheet name="DETAIL (2)" sheetId="12" state="hidden" r:id="rId3"/>
  </sheets>
  <definedNames>
    <definedName name="_xlnm.Print_Area" localSheetId="0">DETAIL!$A$1:$I$59</definedName>
    <definedName name="_xlnm.Print_Area" localSheetId="2">'DETAIL (2)'!$A$1:$F$20</definedName>
    <definedName name="_xlnm.Print_Area" localSheetId="1">UJ!$A$1:$I$31</definedName>
    <definedName name="_xlnm.Print_Titles" localSheetId="0">DETAIL!$1:$7</definedName>
    <definedName name="_xlnm.Print_Titles" localSheetId="2">'DETAIL (2)'!$1:$7</definedName>
    <definedName name="_xlnm.Print_Titles" localSheetId="1">UJ!$1:$7</definedName>
  </definedNames>
  <calcPr calcId="191029"/>
</workbook>
</file>

<file path=xl/calcChain.xml><?xml version="1.0" encoding="utf-8"?>
<calcChain xmlns="http://schemas.openxmlformats.org/spreadsheetml/2006/main">
  <c r="H16" i="11" l="1"/>
  <c r="H46" i="11"/>
  <c r="E42" i="11"/>
  <c r="H42" i="11" s="1"/>
  <c r="E43" i="11"/>
  <c r="H43" i="11" s="1"/>
  <c r="E44" i="11"/>
  <c r="H44" i="11" s="1"/>
  <c r="E45" i="11"/>
  <c r="H45" i="11" s="1"/>
  <c r="E46" i="11"/>
  <c r="E47" i="11"/>
  <c r="E48" i="11"/>
  <c r="E49" i="11"/>
  <c r="H49" i="11" s="1"/>
  <c r="E50" i="11"/>
  <c r="H50" i="11" s="1"/>
  <c r="E51" i="11"/>
  <c r="H51" i="11" s="1"/>
  <c r="E52" i="11"/>
  <c r="H52" i="11" s="1"/>
  <c r="E53" i="11"/>
  <c r="H53" i="11" s="1"/>
  <c r="E54" i="11"/>
  <c r="H54" i="11" s="1"/>
  <c r="E40" i="11"/>
  <c r="H40" i="11" s="1"/>
  <c r="E10" i="11"/>
  <c r="H10" i="11" s="1"/>
  <c r="E11" i="11"/>
  <c r="H11" i="11" s="1"/>
  <c r="E12" i="11"/>
  <c r="H12" i="11" s="1"/>
  <c r="E13" i="11"/>
  <c r="H13" i="11" s="1"/>
  <c r="E14" i="11"/>
  <c r="H14" i="11" s="1"/>
  <c r="E15" i="11"/>
  <c r="H15" i="11" s="1"/>
  <c r="E16" i="11"/>
  <c r="E17" i="11"/>
  <c r="H17" i="11" s="1"/>
  <c r="E18" i="11"/>
  <c r="H18" i="11" s="1"/>
  <c r="E19" i="11"/>
  <c r="E20" i="11"/>
  <c r="E21" i="11"/>
  <c r="E22" i="11"/>
  <c r="E23" i="11"/>
  <c r="E24" i="11"/>
  <c r="H24" i="11" s="1"/>
  <c r="E25" i="11"/>
  <c r="H25" i="11" s="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1" i="11"/>
  <c r="H47" i="11"/>
  <c r="H48" i="11"/>
  <c r="A9" i="11" l="1"/>
  <c r="H41" i="11"/>
  <c r="A10" i="11" l="1"/>
  <c r="A11" i="11" s="1"/>
  <c r="A12" i="11" s="1"/>
  <c r="H35" i="11"/>
  <c r="H36" i="11"/>
  <c r="H37" i="11"/>
  <c r="H30" i="11"/>
  <c r="H31" i="11"/>
  <c r="H32" i="11"/>
  <c r="H39" i="11"/>
  <c r="H33" i="11"/>
  <c r="H34" i="11"/>
  <c r="H38" i="11"/>
  <c r="E9" i="11"/>
  <c r="H9" i="11" s="1"/>
  <c r="H19" i="11"/>
  <c r="H20" i="11"/>
  <c r="H21" i="11"/>
  <c r="H22" i="11"/>
  <c r="H23" i="11"/>
  <c r="H26" i="11"/>
  <c r="H27" i="11"/>
  <c r="H28" i="11"/>
  <c r="H29" i="11"/>
  <c r="I8" i="11" l="1"/>
  <c r="A13" i="11"/>
  <c r="A14" i="11" s="1"/>
  <c r="H55" i="11"/>
  <c r="A15" i="11" l="1"/>
  <c r="A16" i="11"/>
  <c r="H56" i="11"/>
  <c r="H57" i="11" s="1"/>
  <c r="F19" i="13"/>
  <c r="I19" i="13" s="1"/>
  <c r="F18" i="13"/>
  <c r="I18" i="13" s="1"/>
  <c r="N17" i="13"/>
  <c r="F17" i="13"/>
  <c r="I17" i="13" s="1"/>
  <c r="F16" i="13"/>
  <c r="I16" i="13" s="1"/>
  <c r="F15" i="13"/>
  <c r="I15" i="13" s="1"/>
  <c r="L14" i="13"/>
  <c r="F14" i="13"/>
  <c r="I14" i="13" s="1"/>
  <c r="N13" i="13"/>
  <c r="F13" i="13"/>
  <c r="I13" i="13" s="1"/>
  <c r="N12" i="13"/>
  <c r="F12" i="13"/>
  <c r="I12" i="13" s="1"/>
  <c r="N11" i="13"/>
  <c r="F11" i="13"/>
  <c r="I11" i="13" s="1"/>
  <c r="N10" i="13"/>
  <c r="L10" i="13"/>
  <c r="F10" i="13"/>
  <c r="I10" i="13" s="1"/>
  <c r="N9" i="13"/>
  <c r="L9" i="13"/>
  <c r="F9" i="13"/>
  <c r="I9" i="13" s="1"/>
  <c r="I6" i="13"/>
  <c r="A17" i="11" l="1"/>
  <c r="I55" i="11"/>
  <c r="N18" i="13"/>
  <c r="N14" i="13"/>
  <c r="I21" i="13"/>
  <c r="I22" i="13" s="1"/>
  <c r="I23" i="13" s="1"/>
  <c r="O14" i="13"/>
  <c r="N15" i="13"/>
  <c r="F18" i="12"/>
  <c r="D17" i="12"/>
  <c r="F17" i="12" s="1"/>
  <c r="F16" i="12"/>
  <c r="F15" i="12"/>
  <c r="D14" i="12"/>
  <c r="F14" i="12" s="1"/>
  <c r="F13" i="12"/>
  <c r="F12" i="12"/>
  <c r="D11" i="12"/>
  <c r="F11" i="12" s="1"/>
  <c r="D10" i="12"/>
  <c r="F10" i="12" s="1"/>
  <c r="D9" i="12"/>
  <c r="F9" i="12" s="1"/>
  <c r="F6" i="12"/>
  <c r="P14" i="13" l="1"/>
  <c r="A18" i="11"/>
  <c r="A19" i="11" s="1"/>
  <c r="I56" i="11"/>
  <c r="I57" i="11" s="1"/>
  <c r="F20" i="12"/>
  <c r="A20" i="11" l="1"/>
  <c r="A21" i="11" l="1"/>
  <c r="A22" i="11" l="1"/>
  <c r="A23" i="11" l="1"/>
  <c r="A24" i="11" l="1"/>
  <c r="A25" i="11" l="1"/>
  <c r="A26" i="11" s="1"/>
  <c r="A27" i="11" s="1"/>
  <c r="A28" i="11" s="1"/>
  <c r="A29" i="11" s="1"/>
  <c r="A30" i="11" s="1"/>
  <c r="A31" i="11" s="1"/>
  <c r="A32" i="11" s="1"/>
  <c r="A33" i="11" s="1"/>
  <c r="A34" i="11" s="1"/>
  <c r="A35" i="11"/>
  <c r="A36" i="11" l="1"/>
  <c r="A37" i="11"/>
  <c r="A38" i="11" s="1"/>
  <c r="A39" i="11" l="1"/>
  <c r="A40" i="1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</calcChain>
</file>

<file path=xl/sharedStrings.xml><?xml version="1.0" encoding="utf-8"?>
<sst xmlns="http://schemas.openxmlformats.org/spreadsheetml/2006/main" count="270" uniqueCount="149">
  <si>
    <t>UNIT</t>
  </si>
  <si>
    <t>DATE</t>
  </si>
  <si>
    <t>DESCRIPTION</t>
  </si>
  <si>
    <t>UNIT COST</t>
  </si>
  <si>
    <t>TRADE COST</t>
  </si>
  <si>
    <t>ITEM #</t>
  </si>
  <si>
    <t xml:space="preserve">PROJECT: </t>
  </si>
  <si>
    <t xml:space="preserve">ADDRESS: </t>
  </si>
  <si>
    <t>QTY.</t>
  </si>
  <si>
    <t>TOTAL</t>
  </si>
  <si>
    <t>625 PARK AVE PHASE 1B</t>
  </si>
  <si>
    <t xml:space="preserve">625 PARK AVENUE </t>
  </si>
  <si>
    <t>NEW YORK, NY 10065</t>
  </si>
  <si>
    <t>Type 1</t>
  </si>
  <si>
    <t>Type 2</t>
  </si>
  <si>
    <t>Type 4</t>
  </si>
  <si>
    <t>Type 5</t>
  </si>
  <si>
    <t>Type 6</t>
  </si>
  <si>
    <t>Type 7</t>
  </si>
  <si>
    <t>Type 8</t>
  </si>
  <si>
    <t>Ceiling</t>
  </si>
  <si>
    <t>sf</t>
  </si>
  <si>
    <t>DETAILS</t>
  </si>
  <si>
    <t xml:space="preserve">Type 1- Interior Partition </t>
  </si>
  <si>
    <t>Type 2- 2HR rated Interior Partition</t>
  </si>
  <si>
    <t xml:space="preserve">TYPE 3 Interior partition at chase </t>
  </si>
  <si>
    <t xml:space="preserve">TYPE 4 Pocket door partition </t>
  </si>
  <si>
    <t>TYPE 5 Existing wall skim coat</t>
  </si>
  <si>
    <t>TYPE 6 EXISTING WALL- Furring</t>
  </si>
  <si>
    <t>2 HR rated 5/8" 2 layered USG fiberock brand panels.</t>
  </si>
  <si>
    <t>3 HR rated 5/8" 3 layered USG fiberock brand panels.</t>
  </si>
  <si>
    <t>3/32" thick gypsum veneer plaster skim coat.</t>
  </si>
  <si>
    <t>Type 1+Type 2+ Type 4+Type 5+Type 6 +Type 7</t>
  </si>
  <si>
    <t>3 5/8" steel studs 20 GA @ 16" O.C.</t>
  </si>
  <si>
    <t>Type 1+Type 2+Type 6+Type 7</t>
  </si>
  <si>
    <t xml:space="preserve">1 5/8" steel studs 20 GA @ 12" O.C. </t>
  </si>
  <si>
    <t>Batt sound Insulation.</t>
  </si>
  <si>
    <t>Type 1+Type 2+ Type 6</t>
  </si>
  <si>
    <t>Batt sound Insulation type SAFB.</t>
  </si>
  <si>
    <t>SCOPE OF WORK</t>
  </si>
  <si>
    <t xml:space="preserve">TYPE 7 Interior Partition- 3 Hr rated </t>
  </si>
  <si>
    <t>Type 3</t>
  </si>
  <si>
    <t>QTY Details</t>
  </si>
  <si>
    <t>N/A</t>
  </si>
  <si>
    <t xml:space="preserve">Type </t>
  </si>
  <si>
    <t>No details given</t>
  </si>
  <si>
    <r>
      <rPr>
        <sz val="12"/>
        <color rgb="FFC00000"/>
        <rFont val="Calibri"/>
        <family val="2"/>
        <scheme val="minor"/>
      </rPr>
      <t>2 layers 5/8' USG fiberock brand panels</t>
    </r>
    <r>
      <rPr>
        <sz val="12"/>
        <color theme="1"/>
        <rFont val="Calibri"/>
        <family val="2"/>
        <scheme val="minor"/>
      </rPr>
      <t xml:space="preserve"> (Fiberock aqua tough brand at all wet areas)</t>
    </r>
    <r>
      <rPr>
        <sz val="12"/>
        <rFont val="Calibri"/>
        <family val="2"/>
        <scheme val="minor"/>
      </rPr>
      <t xml:space="preserve"> Glue second layer, finished with</t>
    </r>
    <r>
      <rPr>
        <sz val="12"/>
        <color rgb="FF92D050"/>
        <rFont val="Calibri"/>
        <family val="2"/>
        <scheme val="minor"/>
      </rPr>
      <t xml:space="preserve"> 3-32" thick gypsum veneer plaster skim coat</t>
    </r>
    <r>
      <rPr>
        <sz val="12"/>
        <rFont val="Calibri"/>
        <family val="2"/>
        <scheme val="minor"/>
      </rPr>
      <t xml:space="preserve">. </t>
    </r>
    <r>
      <rPr>
        <b/>
        <sz val="12"/>
        <color rgb="FFFFC000"/>
        <rFont val="Calibri"/>
        <family val="2"/>
        <scheme val="minor"/>
      </rPr>
      <t>3 5/8" Stl studs 20 GA @16" O.C</t>
    </r>
    <r>
      <rPr>
        <sz val="12"/>
        <rFont val="Calibri"/>
        <family val="2"/>
        <scheme val="minor"/>
      </rPr>
      <t xml:space="preserve"> with </t>
    </r>
    <r>
      <rPr>
        <sz val="12"/>
        <color rgb="FF0070C0"/>
        <rFont val="Calibri"/>
        <family val="2"/>
        <scheme val="minor"/>
      </rPr>
      <t>Batt insulation</t>
    </r>
    <r>
      <rPr>
        <sz val="12"/>
        <rFont val="Calibri"/>
        <family val="2"/>
        <scheme val="minor"/>
      </rPr>
      <t xml:space="preserve">. 2 layers 5/8" USG fiberock brand panels(Fiberock aqua tough brand at all wet areas finished 3-32" thick gypsum veneer plaster skim coat </t>
    </r>
  </si>
  <si>
    <r>
      <t xml:space="preserve">2 layers 5/8' USG fiberock brand panels (Fiberock aqua tough brand at all wet areas) Glue second layer, finished with </t>
    </r>
    <r>
      <rPr>
        <sz val="12"/>
        <color rgb="FF92D050"/>
        <rFont val="Calibri"/>
        <family val="2"/>
        <scheme val="minor"/>
      </rPr>
      <t>3-32" thick gypsum veneer plaster skim coat</t>
    </r>
    <r>
      <rPr>
        <sz val="12"/>
        <rFont val="Calibri"/>
        <family val="2"/>
        <scheme val="minor"/>
      </rPr>
      <t xml:space="preserve">. </t>
    </r>
    <r>
      <rPr>
        <sz val="12"/>
        <color rgb="FFFFC000"/>
        <rFont val="Calibri"/>
        <family val="2"/>
        <scheme val="minor"/>
      </rPr>
      <t>3 5/8" Stl studs 20 GA @16" O.C</t>
    </r>
    <r>
      <rPr>
        <sz val="12"/>
        <rFont val="Calibri"/>
        <family val="2"/>
        <scheme val="minor"/>
      </rPr>
      <t xml:space="preserve"> with</t>
    </r>
    <r>
      <rPr>
        <sz val="12"/>
        <color rgb="FF0070C0"/>
        <rFont val="Calibri"/>
        <family val="2"/>
        <scheme val="minor"/>
      </rPr>
      <t xml:space="preserve"> Batt insulation</t>
    </r>
    <r>
      <rPr>
        <sz val="12"/>
        <rFont val="Calibri"/>
        <family val="2"/>
        <scheme val="minor"/>
      </rPr>
      <t xml:space="preserve">. 2 layers 5/8" USG fiberock brand panels(Fiberock aqua tough brand at all wet areas finished 3-32" thick gypsum veneer plaster skim coat </t>
    </r>
  </si>
  <si>
    <r>
      <rPr>
        <sz val="12"/>
        <color rgb="FFC00000"/>
        <rFont val="Calibri"/>
        <family val="2"/>
        <scheme val="minor"/>
      </rPr>
      <t xml:space="preserve">2 Layers 5/8" USG fiberock brand panels </t>
    </r>
    <r>
      <rPr>
        <sz val="12"/>
        <color theme="1"/>
        <rFont val="Calibri"/>
        <family val="2"/>
        <scheme val="minor"/>
      </rPr>
      <t>(Fiberock Aqua tough brand at all wet areas)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Glue second layer, Finished with </t>
    </r>
    <r>
      <rPr>
        <sz val="12"/>
        <color rgb="FF92D050"/>
        <rFont val="Calibri"/>
        <family val="2"/>
        <scheme val="minor"/>
      </rPr>
      <t>3/32" thick gypsum veneer plaster skim coat.</t>
    </r>
    <r>
      <rPr>
        <b/>
        <sz val="12"/>
        <rFont val="Calibri"/>
        <family val="2"/>
        <scheme val="minor"/>
      </rPr>
      <t xml:space="preserve"> 1</t>
    </r>
    <r>
      <rPr>
        <sz val="12"/>
        <rFont val="Calibri"/>
        <family val="2"/>
        <scheme val="minor"/>
      </rPr>
      <t xml:space="preserve"> </t>
    </r>
    <r>
      <rPr>
        <b/>
        <sz val="12"/>
        <rFont val="Calibri"/>
        <family val="2"/>
        <scheme val="minor"/>
      </rPr>
      <t xml:space="preserve">5/8" 20 Ga stl studs @12 O.C.  </t>
    </r>
    <r>
      <rPr>
        <sz val="12"/>
        <rFont val="Calibri"/>
        <family val="2"/>
        <scheme val="minor"/>
      </rPr>
      <t>2 layer 5/8" USG fiberock brand panels (fiberock aqua tough brand at wet areas) finished with 3/32" thick gypsum veneer plaster skim coat.</t>
    </r>
  </si>
  <si>
    <r>
      <rPr>
        <sz val="12"/>
        <color rgb="FFFFC000"/>
        <rFont val="Calibri"/>
        <family val="2"/>
        <scheme val="minor"/>
      </rPr>
      <t xml:space="preserve">3 5/8" </t>
    </r>
    <r>
      <rPr>
        <b/>
        <sz val="12"/>
        <color rgb="FFFFC000"/>
        <rFont val="Calibri"/>
        <family val="2"/>
        <scheme val="minor"/>
      </rPr>
      <t>20 Ga stl studs @ 16 O.C</t>
    </r>
    <r>
      <rPr>
        <b/>
        <sz val="12"/>
        <rFont val="Calibri"/>
        <family val="2"/>
        <scheme val="minor"/>
      </rPr>
      <t>.</t>
    </r>
    <r>
      <rPr>
        <b/>
        <sz val="12"/>
        <color rgb="FFC00000"/>
        <rFont val="Calibri"/>
        <family val="2"/>
        <scheme val="minor"/>
      </rPr>
      <t xml:space="preserve"> </t>
    </r>
    <r>
      <rPr>
        <sz val="12"/>
        <color rgb="FFC00000"/>
        <rFont val="Calibri"/>
        <family val="2"/>
        <scheme val="minor"/>
      </rPr>
      <t>2 layers  5/8" USG fiberock brand panels</t>
    </r>
    <r>
      <rPr>
        <sz val="12"/>
        <rFont val="Calibri"/>
        <family val="2"/>
        <scheme val="minor"/>
      </rPr>
      <t xml:space="preserve"> dimensions from exterior wall to be varified with architect. Fill with</t>
    </r>
    <r>
      <rPr>
        <sz val="12"/>
        <color rgb="FF0070C0"/>
        <rFont val="Calibri"/>
        <family val="2"/>
        <scheme val="minor"/>
      </rPr>
      <t xml:space="preserve"> Batt insulation, </t>
    </r>
    <r>
      <rPr>
        <sz val="12"/>
        <rFont val="Calibri"/>
        <family val="2"/>
        <scheme val="minor"/>
      </rPr>
      <t xml:space="preserve">Finished with </t>
    </r>
    <r>
      <rPr>
        <sz val="12"/>
        <color rgb="FF92D050"/>
        <rFont val="Calibri"/>
        <family val="2"/>
        <scheme val="minor"/>
      </rPr>
      <t>3/32" Thick Gypsum veneer plaster skim coat</t>
    </r>
  </si>
  <si>
    <r>
      <t>Apply</t>
    </r>
    <r>
      <rPr>
        <sz val="12"/>
        <color rgb="FF92D050"/>
        <rFont val="Calibri"/>
        <family val="2"/>
        <scheme val="minor"/>
      </rPr>
      <t xml:space="preserve"> 3/32" Thick gypsum veneer skim coat</t>
    </r>
    <r>
      <rPr>
        <sz val="12"/>
        <rFont val="Calibri"/>
        <family val="2"/>
        <scheme val="minor"/>
      </rPr>
      <t>. Fill and smooth all imperfections</t>
    </r>
  </si>
  <si>
    <t>5/8" 2 layered USG fiberock brand panels.</t>
  </si>
  <si>
    <t>Type 1+Type 4+Type 6+ceiling</t>
  </si>
  <si>
    <t>Type 1+Type 4+Type 6+wet ceiling</t>
  </si>
  <si>
    <t>5/8" 2 layered USG fiberock aqua tough brand panels. (Wet area).</t>
  </si>
  <si>
    <t>2 HR rated 5/8" 2 layered USG fiberock  aqua tough brand panels. (Wet area).</t>
  </si>
  <si>
    <r>
      <t xml:space="preserve">2 layer 5/8" USG fiberock brand panels ( Fiberock aqua tough brand at all wet areas ) Glue second layer fill batt insulation, finished with 3/32" thick gypsum veneer plaster skim coat.  </t>
    </r>
    <r>
      <rPr>
        <b/>
        <sz val="12"/>
        <color rgb="FFFF0000"/>
        <rFont val="Calibri"/>
        <family val="2"/>
        <scheme val="minor"/>
      </rPr>
      <t xml:space="preserve">20 Ga 2-1/2" mtl studs @ 16 O.C. </t>
    </r>
    <r>
      <rPr>
        <sz val="12"/>
        <color rgb="FFFF0000"/>
        <rFont val="Calibri"/>
        <family val="2"/>
        <scheme val="minor"/>
      </rPr>
      <t>with batt insulation. Pipe chase space. 2 layers 5/8" USG fiberock brand panels (Fiberock aqua tough brand at all wet areas finished with 3/32" thick gypsum veneer plaster skim coat.</t>
    </r>
  </si>
  <si>
    <r>
      <t xml:space="preserve">3 layer 5/8" USG fiberock brand panels, glue third layer finished with </t>
    </r>
    <r>
      <rPr>
        <sz val="12"/>
        <color rgb="FF92D050"/>
        <rFont val="Calibri"/>
        <family val="2"/>
        <scheme val="minor"/>
      </rPr>
      <t>3/32" thick gypsum veneer plaster skim coat</t>
    </r>
    <r>
      <rPr>
        <sz val="12"/>
        <rFont val="Calibri"/>
        <family val="2"/>
        <scheme val="minor"/>
      </rPr>
      <t>.</t>
    </r>
    <r>
      <rPr>
        <b/>
        <sz val="12"/>
        <rFont val="Calibri"/>
        <family val="2"/>
        <scheme val="minor"/>
      </rPr>
      <t xml:space="preserve"> </t>
    </r>
    <r>
      <rPr>
        <b/>
        <sz val="12"/>
        <color rgb="FFFFC000"/>
        <rFont val="Calibri"/>
        <family val="2"/>
        <scheme val="minor"/>
      </rPr>
      <t>3 5/8" stl studs 20 GA @16"O.C.</t>
    </r>
    <r>
      <rPr>
        <sz val="12"/>
        <color rgb="FF00B0F0"/>
        <rFont val="Calibri"/>
        <family val="2"/>
        <scheme val="minor"/>
      </rPr>
      <t xml:space="preserve"> </t>
    </r>
    <r>
      <rPr>
        <sz val="12"/>
        <color rgb="FF002060"/>
        <rFont val="Calibri"/>
        <family val="2"/>
        <scheme val="minor"/>
      </rPr>
      <t xml:space="preserve">Batt insulation Type SAFB. </t>
    </r>
    <r>
      <rPr>
        <sz val="12"/>
        <rFont val="Calibri"/>
        <family val="2"/>
        <scheme val="minor"/>
      </rPr>
      <t>3 layer 5/8" USG fiberock brand panels, glue third layer finished with 3-32" thick gypsum veneer plaster skim coat</t>
    </r>
  </si>
  <si>
    <t>Wet Ceiling</t>
  </si>
  <si>
    <t>Height 9'6"</t>
  </si>
  <si>
    <t>For Doors &amp; Cabinets 1'3"</t>
  </si>
  <si>
    <t>Exclusions</t>
  </si>
  <si>
    <t>Mouldings</t>
  </si>
  <si>
    <t>Patch work</t>
  </si>
  <si>
    <t>Fixtures</t>
  </si>
  <si>
    <t>Electrical work</t>
  </si>
  <si>
    <t>Stone and/or tile work</t>
  </si>
  <si>
    <t>SUB TOTAL</t>
  </si>
  <si>
    <t>TOTAL BASE BID</t>
  </si>
  <si>
    <t>WASTE</t>
  </si>
  <si>
    <t>QTY. W/ WASTE</t>
  </si>
  <si>
    <t>625 PARK AVENUE,</t>
  </si>
  <si>
    <t>NEW YORK, NY-10065.</t>
  </si>
  <si>
    <t>INSURANCE (3%)</t>
  </si>
  <si>
    <t>09 26</t>
  </si>
  <si>
    <t>3-5/8" steel studs 20 GA @ 16" O.C.</t>
  </si>
  <si>
    <t xml:space="preserve">1-5/8" steel studs 20 GA @ 12" O.C. </t>
  </si>
  <si>
    <t>09 29</t>
  </si>
  <si>
    <t>Dry</t>
  </si>
  <si>
    <t>Wet</t>
  </si>
  <si>
    <t>Single side areas</t>
  </si>
  <si>
    <t>Wall type 8 [no details on provided on the drawing]</t>
  </si>
  <si>
    <t>2 layered 5/8" thick USG fiberock brand panels for walls and ceilings.</t>
  </si>
  <si>
    <t>2 layerd 5/8" thick USG fiberock aqua tough brand panels for wall and ceilings in wet areas.</t>
  </si>
  <si>
    <t>2 layered 2 HR rated 5/8" thick USG fiberock brand panels for walls.</t>
  </si>
  <si>
    <t>2 layered 2 HR rated 5/8" thick USG fiberock  aqua tough brand panels for walls in wet areas.</t>
  </si>
  <si>
    <t>3 layered 3 HR rated 5/8" thick USG fiberock brand panels for walls.</t>
  </si>
  <si>
    <t>Batt Insulation.</t>
  </si>
  <si>
    <t>Batt Insulation type SAFB.</t>
  </si>
  <si>
    <t>09 22 16</t>
  </si>
  <si>
    <t>10 22 16</t>
  </si>
  <si>
    <t>09 22 26</t>
  </si>
  <si>
    <t>Ceiling suspension system.</t>
  </si>
  <si>
    <t>07 21 16</t>
  </si>
  <si>
    <t>CSI SEC.</t>
  </si>
  <si>
    <t>ITEM COST</t>
  </si>
  <si>
    <t>OVERHEAD AND PROFIT</t>
  </si>
  <si>
    <r>
      <t xml:space="preserve">General Notes: </t>
    </r>
    <r>
      <rPr>
        <sz val="12"/>
        <color rgb="FFFF0000"/>
        <rFont val="Calibri"/>
        <family val="2"/>
        <scheme val="minor"/>
      </rPr>
      <t>The prices used while preparing the estimate were taken from RSMeans online i.e. the standard pricing &amp; the company is not reponsible for any kind of variations in the prices. So, it is preferred to review the prices.</t>
    </r>
  </si>
  <si>
    <t>ea</t>
  </si>
  <si>
    <r>
      <t xml:space="preserve">General Exclusions: </t>
    </r>
    <r>
      <rPr>
        <sz val="12"/>
        <rFont val="Calibri"/>
        <family val="2"/>
        <scheme val="minor"/>
      </rPr>
      <t>Controlled inspection, contaminated material, architect and engineering fees, security, building charges, sign off, asbestos removal, protection of adjoining building (if any), any work not mentioned above.</t>
    </r>
  </si>
  <si>
    <t>MECHANICAL</t>
  </si>
  <si>
    <t>lf</t>
  </si>
  <si>
    <t>Volume Damper</t>
  </si>
  <si>
    <t>12X6 Duct</t>
  </si>
  <si>
    <t>16X8 Duct</t>
  </si>
  <si>
    <t>Exhaust Grill 50 Cfm</t>
  </si>
  <si>
    <t>4" Round Duct</t>
  </si>
  <si>
    <t>6" Round Duct</t>
  </si>
  <si>
    <t>8" Round Duct</t>
  </si>
  <si>
    <t>10" Round Duct</t>
  </si>
  <si>
    <t>12" Round Duct</t>
  </si>
  <si>
    <t>16" Round Duct</t>
  </si>
  <si>
    <t>18" Round Duct</t>
  </si>
  <si>
    <t>12X10 Duct</t>
  </si>
  <si>
    <t>18X10 Duct</t>
  </si>
  <si>
    <t>20X10 Duct</t>
  </si>
  <si>
    <t>12x8 Duct</t>
  </si>
  <si>
    <t>24" Duct</t>
  </si>
  <si>
    <t>24x24 Duct</t>
  </si>
  <si>
    <t>4x4 Duct</t>
  </si>
  <si>
    <t>1-1/2" Hot Water Supply Pipe</t>
  </si>
  <si>
    <t>1-1/2" Hot Water Return Pipe</t>
  </si>
  <si>
    <t>1-1/4" Hot Water Supply Pipe</t>
  </si>
  <si>
    <t>1-1/4" Hot Water Return Pipe</t>
  </si>
  <si>
    <t>1/2" Hot Water Supply Pipe</t>
  </si>
  <si>
    <t>1/2" Hot Water Return Pipe</t>
  </si>
  <si>
    <t>Duct Insulation</t>
  </si>
  <si>
    <t>Exhaust Grill 30 Cfm</t>
  </si>
  <si>
    <t>Exhaust Grill 45 Cfm</t>
  </si>
  <si>
    <t>Exhaust Grill 55 Cfm</t>
  </si>
  <si>
    <t>Exhaust Grill 150 Cfm</t>
  </si>
  <si>
    <t>Exhaust Grill 160 Cfm</t>
  </si>
  <si>
    <t>Exhaust Grill 190 Cfm</t>
  </si>
  <si>
    <t>Fire Smoke Damper</t>
  </si>
  <si>
    <t>Duct Cap</t>
  </si>
  <si>
    <t>Boiler 200 Mbh,5 Hp</t>
  </si>
  <si>
    <t>Circulating Pump 1/2 Hp,35 Gpm</t>
  </si>
  <si>
    <t>Panel Radiator 4860 BTU</t>
  </si>
  <si>
    <t>Panel Radiator 4800 BTU</t>
  </si>
  <si>
    <t>Panel Radiator 4340 BTU</t>
  </si>
  <si>
    <t>Panel Radiator 4980 BTU</t>
  </si>
  <si>
    <t>Panel Radiator 7020 BTU</t>
  </si>
  <si>
    <t>Panel Radiator 5120 BTU</t>
  </si>
  <si>
    <t>Panel Radiator 4380 BTU</t>
  </si>
  <si>
    <t>Exhaust Fan 250 Cfm 1/8 Hp</t>
  </si>
  <si>
    <t>Exhaust Fan 600 Cfm 1/4 Hp</t>
  </si>
  <si>
    <t>Exhaust Fan 1300 Cfm 1/4 Hp</t>
  </si>
  <si>
    <t>Exhaust Fan 30-50 Cfm ,3.5 Watts</t>
  </si>
  <si>
    <t>MECHANICAL ESTIMATE 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</si>
</sst>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&quot;$&quot;#,##0"/>
    <numFmt numFmtId="166" formatCode="_(&quot;$&quot;* #,##0.0_);_(&quot;$&quot;* \(#,##0.0\);_(&quot;$&quot;* &quot;-&quot;?_);_(@_)"/>
    <numFmt numFmtId="167" formatCode="_(&quot;$&quot;* #,##0_);_(&quot;$&quot;* \(#,##0\);_(&quot;$&quot;* &quot;-&quot;??_);_(@_)"/>
    <numFmt numFmtId="168" formatCode="_(&quot;$&quot;* #,##0.0_);_(&quot;$&quot;* \(#,##0.0\);_(&quot;$&quot;* &quot;-&quot;??_);_(@_)"/>
  </numFmts>
  <fonts count="43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Verdana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9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2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FFC000"/>
      <name val="Calibri"/>
      <family val="2"/>
      <scheme val="minor"/>
    </font>
    <font>
      <sz val="12"/>
      <color rgb="FF92D05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B0F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0" borderId="0"/>
    <xf numFmtId="0" fontId="4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" fillId="0" borderId="0"/>
    <xf numFmtId="0" fontId="22" fillId="0" borderId="0"/>
    <xf numFmtId="0" fontId="4" fillId="0" borderId="0"/>
    <xf numFmtId="43" fontId="22" fillId="0" borderId="0" applyFont="0" applyFill="0" applyBorder="0" applyAlignment="0" applyProtection="0"/>
    <xf numFmtId="0" fontId="23" fillId="0" borderId="0"/>
    <xf numFmtId="43" fontId="4" fillId="0" borderId="0" applyFont="0" applyFill="0" applyBorder="0" applyAlignment="0" applyProtection="0"/>
    <xf numFmtId="0" fontId="4" fillId="0" borderId="0"/>
    <xf numFmtId="44" fontId="23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</cellStyleXfs>
  <cellXfs count="147">
    <xf numFmtId="0" fontId="0" fillId="0" borderId="0" xfId="0"/>
    <xf numFmtId="2" fontId="3" fillId="0" borderId="0" xfId="0" applyNumberFormat="1" applyFont="1" applyAlignment="1">
      <alignment horizontal="left" vertical="center"/>
    </xf>
    <xf numFmtId="2" fontId="24" fillId="0" borderId="0" xfId="0" applyNumberFormat="1" applyFont="1" applyAlignment="1">
      <alignment horizontal="left" vertical="center"/>
    </xf>
    <xf numFmtId="2" fontId="24" fillId="0" borderId="0" xfId="0" applyNumberFormat="1" applyFont="1" applyAlignment="1">
      <alignment horizontal="center" vertical="center"/>
    </xf>
    <xf numFmtId="2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165" fontId="24" fillId="0" borderId="0" xfId="0" applyNumberFormat="1" applyFont="1" applyAlignment="1">
      <alignment vertical="center"/>
    </xf>
    <xf numFmtId="2" fontId="24" fillId="0" borderId="0" xfId="0" applyNumberFormat="1" applyFont="1" applyAlignment="1">
      <alignment vertical="center" wrapText="1"/>
    </xf>
    <xf numFmtId="165" fontId="25" fillId="0" borderId="0" xfId="0" applyNumberFormat="1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24" fillId="0" borderId="12" xfId="0" applyFont="1" applyBorder="1" applyAlignment="1">
      <alignment horizontal="right" vertical="center" wrapText="1"/>
    </xf>
    <xf numFmtId="0" fontId="24" fillId="0" borderId="12" xfId="0" applyFont="1" applyBorder="1" applyAlignment="1">
      <alignment vertical="center"/>
    </xf>
    <xf numFmtId="0" fontId="24" fillId="25" borderId="10" xfId="0" applyFont="1" applyFill="1" applyBorder="1" applyAlignment="1">
      <alignment vertical="center" wrapText="1"/>
    </xf>
    <xf numFmtId="0" fontId="24" fillId="25" borderId="10" xfId="0" applyFont="1" applyFill="1" applyBorder="1" applyAlignment="1">
      <alignment horizontal="center" vertical="center"/>
    </xf>
    <xf numFmtId="165" fontId="24" fillId="25" borderId="10" xfId="0" applyNumberFormat="1" applyFont="1" applyFill="1" applyBorder="1" applyAlignment="1">
      <alignment vertical="center"/>
    </xf>
    <xf numFmtId="2" fontId="3" fillId="0" borderId="0" xfId="0" applyNumberFormat="1" applyFont="1" applyAlignment="1">
      <alignment horizontal="right" vertical="center"/>
    </xf>
    <xf numFmtId="42" fontId="24" fillId="0" borderId="0" xfId="0" applyNumberFormat="1" applyFont="1" applyAlignment="1">
      <alignment horizontal="left" vertical="center"/>
    </xf>
    <xf numFmtId="166" fontId="24" fillId="0" borderId="0" xfId="0" applyNumberFormat="1" applyFont="1" applyAlignment="1">
      <alignment horizontal="left" vertical="center"/>
    </xf>
    <xf numFmtId="2" fontId="24" fillId="0" borderId="0" xfId="0" applyNumberFormat="1" applyFont="1" applyAlignment="1">
      <alignment horizontal="center" vertical="center" wrapText="1"/>
    </xf>
    <xf numFmtId="0" fontId="24" fillId="25" borderId="10" xfId="0" applyFont="1" applyFill="1" applyBorder="1" applyAlignment="1">
      <alignment horizontal="center" vertical="center" wrapText="1"/>
    </xf>
    <xf numFmtId="165" fontId="24" fillId="0" borderId="12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top"/>
    </xf>
    <xf numFmtId="0" fontId="27" fillId="24" borderId="13" xfId="0" applyFont="1" applyFill="1" applyBorder="1" applyAlignment="1">
      <alignment horizontal="center" vertical="top" wrapText="1"/>
    </xf>
    <xf numFmtId="2" fontId="27" fillId="24" borderId="14" xfId="0" applyNumberFormat="1" applyFont="1" applyFill="1" applyBorder="1" applyAlignment="1">
      <alignment horizontal="center" vertical="center" wrapText="1"/>
    </xf>
    <xf numFmtId="0" fontId="27" fillId="24" borderId="14" xfId="0" applyFont="1" applyFill="1" applyBorder="1" applyAlignment="1">
      <alignment horizontal="center" vertical="center" wrapText="1"/>
    </xf>
    <xf numFmtId="0" fontId="27" fillId="24" borderId="15" xfId="0" applyFont="1" applyFill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top"/>
    </xf>
    <xf numFmtId="41" fontId="24" fillId="0" borderId="0" xfId="0" applyNumberFormat="1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4" fillId="0" borderId="12" xfId="0" applyFont="1" applyBorder="1" applyAlignment="1">
      <alignment horizontal="center" vertical="center"/>
    </xf>
    <xf numFmtId="166" fontId="28" fillId="0" borderId="0" xfId="0" applyNumberFormat="1" applyFont="1" applyAlignment="1">
      <alignment horizontal="left" vertical="center"/>
    </xf>
    <xf numFmtId="0" fontId="28" fillId="0" borderId="0" xfId="0" applyFont="1" applyAlignment="1">
      <alignment vertical="center"/>
    </xf>
    <xf numFmtId="0" fontId="25" fillId="25" borderId="16" xfId="0" quotePrefix="1" applyFont="1" applyFill="1" applyBorder="1" applyAlignment="1">
      <alignment horizontal="center" vertical="top"/>
    </xf>
    <xf numFmtId="0" fontId="25" fillId="0" borderId="11" xfId="0" applyFont="1" applyBorder="1" applyAlignment="1">
      <alignment horizontal="center" vertical="top"/>
    </xf>
    <xf numFmtId="42" fontId="25" fillId="0" borderId="12" xfId="0" applyNumberFormat="1" applyFont="1" applyBorder="1" applyAlignment="1">
      <alignment vertical="center"/>
    </xf>
    <xf numFmtId="166" fontId="29" fillId="0" borderId="0" xfId="0" applyNumberFormat="1" applyFont="1" applyAlignment="1">
      <alignment horizontal="left" vertical="center"/>
    </xf>
    <xf numFmtId="0" fontId="30" fillId="25" borderId="10" xfId="0" applyFont="1" applyFill="1" applyBorder="1" applyAlignment="1">
      <alignment vertical="center" wrapText="1"/>
    </xf>
    <xf numFmtId="41" fontId="31" fillId="0" borderId="0" xfId="0" applyNumberFormat="1" applyFont="1" applyAlignment="1">
      <alignment horizontal="right" vertical="center"/>
    </xf>
    <xf numFmtId="2" fontId="25" fillId="0" borderId="0" xfId="0" applyNumberFormat="1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center" wrapText="1"/>
    </xf>
    <xf numFmtId="0" fontId="24" fillId="0" borderId="0" xfId="0" applyFont="1" applyAlignment="1">
      <alignment vertical="top" wrapText="1"/>
    </xf>
    <xf numFmtId="0" fontId="25" fillId="0" borderId="0" xfId="0" applyFont="1" applyAlignment="1">
      <alignment vertical="center"/>
    </xf>
    <xf numFmtId="0" fontId="31" fillId="0" borderId="0" xfId="0" applyFont="1" applyAlignment="1">
      <alignment horizontal="left" vertical="center" wrapText="1"/>
    </xf>
    <xf numFmtId="0" fontId="24" fillId="0" borderId="0" xfId="0" quotePrefix="1" applyFont="1" applyAlignment="1">
      <alignment horizontal="left" vertical="center" wrapText="1"/>
    </xf>
    <xf numFmtId="0" fontId="31" fillId="0" borderId="0" xfId="0" applyFont="1" applyAlignment="1">
      <alignment horizontal="justify" vertical="center" wrapText="1"/>
    </xf>
    <xf numFmtId="0" fontId="31" fillId="0" borderId="0" xfId="0" applyFont="1" applyAlignment="1">
      <alignment horizontal="left" vertical="center"/>
    </xf>
    <xf numFmtId="0" fontId="25" fillId="0" borderId="0" xfId="0" applyFont="1" applyAlignment="1">
      <alignment vertical="center" wrapText="1"/>
    </xf>
    <xf numFmtId="2" fontId="40" fillId="0" borderId="0" xfId="0" applyNumberFormat="1" applyFont="1" applyAlignment="1">
      <alignment vertical="center" wrapText="1"/>
    </xf>
    <xf numFmtId="2" fontId="41" fillId="0" borderId="0" xfId="0" applyNumberFormat="1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5" fillId="0" borderId="11" xfId="0" applyFont="1" applyBorder="1" applyAlignment="1">
      <alignment horizontal="left" vertical="top"/>
    </xf>
    <xf numFmtId="0" fontId="24" fillId="0" borderId="21" xfId="0" applyFont="1" applyBorder="1" applyAlignment="1">
      <alignment horizontal="center" vertical="top"/>
    </xf>
    <xf numFmtId="0" fontId="25" fillId="0" borderId="0" xfId="0" applyFont="1" applyAlignment="1">
      <alignment horizontal="left" vertical="top"/>
    </xf>
    <xf numFmtId="0" fontId="25" fillId="25" borderId="24" xfId="0" quotePrefix="1" applyFont="1" applyFill="1" applyBorder="1" applyAlignment="1">
      <alignment horizontal="center" vertical="top"/>
    </xf>
    <xf numFmtId="0" fontId="24" fillId="0" borderId="27" xfId="0" applyFont="1" applyBorder="1" applyAlignment="1">
      <alignment horizontal="center" vertical="top"/>
    </xf>
    <xf numFmtId="2" fontId="3" fillId="0" borderId="0" xfId="0" applyNumberFormat="1" applyFont="1" applyAlignment="1">
      <alignment horizontal="left" vertical="top"/>
    </xf>
    <xf numFmtId="2" fontId="24" fillId="0" borderId="0" xfId="0" applyNumberFormat="1" applyFont="1" applyAlignment="1">
      <alignment horizontal="center" vertical="top"/>
    </xf>
    <xf numFmtId="2" fontId="24" fillId="0" borderId="0" xfId="0" applyNumberFormat="1" applyFont="1" applyAlignment="1">
      <alignment horizontal="left" vertical="top"/>
    </xf>
    <xf numFmtId="2" fontId="24" fillId="0" borderId="0" xfId="0" applyNumberFormat="1" applyFont="1" applyAlignment="1">
      <alignment vertical="top"/>
    </xf>
    <xf numFmtId="0" fontId="24" fillId="0" borderId="0" xfId="0" applyFont="1" applyAlignment="1">
      <alignment vertical="top"/>
    </xf>
    <xf numFmtId="2" fontId="3" fillId="0" borderId="0" xfId="0" applyNumberFormat="1" applyFont="1" applyAlignment="1">
      <alignment horizontal="right" vertical="top"/>
    </xf>
    <xf numFmtId="165" fontId="24" fillId="0" borderId="0" xfId="0" applyNumberFormat="1" applyFont="1" applyAlignment="1">
      <alignment vertical="top"/>
    </xf>
    <xf numFmtId="2" fontId="24" fillId="0" borderId="0" xfId="0" applyNumberFormat="1" applyFont="1" applyAlignment="1">
      <alignment vertical="top" wrapText="1"/>
    </xf>
    <xf numFmtId="2" fontId="24" fillId="0" borderId="0" xfId="0" applyNumberFormat="1" applyFont="1" applyAlignment="1">
      <alignment horizontal="center" vertical="top" wrapText="1"/>
    </xf>
    <xf numFmtId="165" fontId="25" fillId="0" borderId="0" xfId="0" applyNumberFormat="1" applyFont="1" applyAlignment="1">
      <alignment horizontal="center" vertical="top"/>
    </xf>
    <xf numFmtId="164" fontId="25" fillId="0" borderId="0" xfId="0" applyNumberFormat="1" applyFont="1" applyAlignment="1">
      <alignment horizontal="center" vertical="top"/>
    </xf>
    <xf numFmtId="2" fontId="27" fillId="24" borderId="14" xfId="0" applyNumberFormat="1" applyFont="1" applyFill="1" applyBorder="1" applyAlignment="1">
      <alignment horizontal="center" vertical="top" wrapText="1"/>
    </xf>
    <xf numFmtId="0" fontId="27" fillId="24" borderId="14" xfId="0" applyFont="1" applyFill="1" applyBorder="1" applyAlignment="1">
      <alignment horizontal="center" vertical="top" wrapText="1"/>
    </xf>
    <xf numFmtId="0" fontId="27" fillId="24" borderId="15" xfId="0" applyFont="1" applyFill="1" applyBorder="1" applyAlignment="1">
      <alignment horizontal="center" vertical="top" wrapText="1"/>
    </xf>
    <xf numFmtId="0" fontId="26" fillId="0" borderId="0" xfId="0" applyFont="1" applyAlignment="1">
      <alignment horizontal="center" vertical="top" wrapText="1"/>
    </xf>
    <xf numFmtId="0" fontId="30" fillId="25" borderId="25" xfId="0" applyFont="1" applyFill="1" applyBorder="1" applyAlignment="1">
      <alignment vertical="top" wrapText="1"/>
    </xf>
    <xf numFmtId="0" fontId="24" fillId="25" borderId="25" xfId="0" applyFont="1" applyFill="1" applyBorder="1" applyAlignment="1">
      <alignment horizontal="center" vertical="top" wrapText="1"/>
    </xf>
    <xf numFmtId="0" fontId="24" fillId="25" borderId="25" xfId="0" applyFont="1" applyFill="1" applyBorder="1" applyAlignment="1">
      <alignment horizontal="center" vertical="top"/>
    </xf>
    <xf numFmtId="0" fontId="24" fillId="25" borderId="25" xfId="0" applyFont="1" applyFill="1" applyBorder="1" applyAlignment="1">
      <alignment vertical="top" wrapText="1"/>
    </xf>
    <xf numFmtId="165" fontId="24" fillId="25" borderId="26" xfId="0" applyNumberFormat="1" applyFont="1" applyFill="1" applyBorder="1" applyAlignment="1">
      <alignment vertical="top"/>
    </xf>
    <xf numFmtId="0" fontId="24" fillId="0" borderId="19" xfId="0" applyFont="1" applyBorder="1" applyAlignment="1">
      <alignment vertical="top"/>
    </xf>
    <xf numFmtId="0" fontId="31" fillId="0" borderId="28" xfId="0" applyFont="1" applyBorder="1" applyAlignment="1">
      <alignment horizontal="justify" vertical="top" wrapText="1"/>
    </xf>
    <xf numFmtId="41" fontId="31" fillId="0" borderId="28" xfId="0" applyNumberFormat="1" applyFont="1" applyBorder="1" applyAlignment="1">
      <alignment horizontal="right" vertical="top"/>
    </xf>
    <xf numFmtId="9" fontId="31" fillId="0" borderId="28" xfId="0" applyNumberFormat="1" applyFont="1" applyBorder="1" applyAlignment="1">
      <alignment horizontal="right" vertical="top"/>
    </xf>
    <xf numFmtId="0" fontId="24" fillId="0" borderId="28" xfId="0" applyFont="1" applyBorder="1" applyAlignment="1">
      <alignment horizontal="center" vertical="top"/>
    </xf>
    <xf numFmtId="166" fontId="24" fillId="0" borderId="28" xfId="0" applyNumberFormat="1" applyFont="1" applyBorder="1" applyAlignment="1">
      <alignment horizontal="left" vertical="top"/>
    </xf>
    <xf numFmtId="42" fontId="24" fillId="0" borderId="29" xfId="0" applyNumberFormat="1" applyFont="1" applyBorder="1" applyAlignment="1">
      <alignment horizontal="left" vertical="top"/>
    </xf>
    <xf numFmtId="0" fontId="24" fillId="0" borderId="0" xfId="0" applyFont="1" applyAlignment="1">
      <alignment horizontal="justify" vertical="top" wrapText="1"/>
    </xf>
    <xf numFmtId="41" fontId="31" fillId="0" borderId="0" xfId="0" applyNumberFormat="1" applyFont="1" applyAlignment="1">
      <alignment horizontal="right" vertical="top"/>
    </xf>
    <xf numFmtId="9" fontId="31" fillId="0" borderId="0" xfId="0" applyNumberFormat="1" applyFont="1" applyAlignment="1">
      <alignment horizontal="right" vertical="top"/>
    </xf>
    <xf numFmtId="166" fontId="24" fillId="0" borderId="0" xfId="0" applyNumberFormat="1" applyFont="1" applyAlignment="1">
      <alignment horizontal="left" vertical="top"/>
    </xf>
    <xf numFmtId="42" fontId="24" fillId="0" borderId="20" xfId="0" applyNumberFormat="1" applyFont="1" applyBorder="1" applyAlignment="1">
      <alignment horizontal="left" vertical="top"/>
    </xf>
    <xf numFmtId="0" fontId="24" fillId="0" borderId="0" xfId="0" quotePrefix="1" applyFont="1" applyAlignment="1">
      <alignment horizontal="justify" vertical="top" wrapText="1"/>
    </xf>
    <xf numFmtId="0" fontId="31" fillId="0" borderId="0" xfId="0" applyFont="1" applyAlignment="1">
      <alignment horizontal="left" vertical="top"/>
    </xf>
    <xf numFmtId="0" fontId="28" fillId="0" borderId="19" xfId="0" applyFont="1" applyBorder="1" applyAlignment="1">
      <alignment vertical="top"/>
    </xf>
    <xf numFmtId="0" fontId="28" fillId="0" borderId="0" xfId="0" applyFont="1" applyAlignment="1">
      <alignment vertical="top"/>
    </xf>
    <xf numFmtId="41" fontId="24" fillId="0" borderId="0" xfId="0" applyNumberFormat="1" applyFont="1" applyAlignment="1">
      <alignment horizontal="right" vertical="top"/>
    </xf>
    <xf numFmtId="0" fontId="31" fillId="0" borderId="0" xfId="0" applyFont="1" applyAlignment="1">
      <alignment horizontal="justify" vertical="top" wrapText="1"/>
    </xf>
    <xf numFmtId="0" fontId="31" fillId="0" borderId="22" xfId="0" applyFont="1" applyBorder="1" applyAlignment="1">
      <alignment horizontal="justify" vertical="top" wrapText="1"/>
    </xf>
    <xf numFmtId="41" fontId="24" fillId="0" borderId="22" xfId="0" applyNumberFormat="1" applyFont="1" applyBorder="1" applyAlignment="1">
      <alignment horizontal="right" vertical="top"/>
    </xf>
    <xf numFmtId="9" fontId="24" fillId="0" borderId="22" xfId="0" applyNumberFormat="1" applyFont="1" applyBorder="1" applyAlignment="1">
      <alignment horizontal="right" vertical="top"/>
    </xf>
    <xf numFmtId="41" fontId="31" fillId="0" borderId="22" xfId="0" applyNumberFormat="1" applyFont="1" applyBorder="1" applyAlignment="1">
      <alignment horizontal="right" vertical="top"/>
    </xf>
    <xf numFmtId="0" fontId="24" fillId="0" borderId="22" xfId="0" applyFont="1" applyBorder="1" applyAlignment="1">
      <alignment horizontal="center" vertical="top"/>
    </xf>
    <xf numFmtId="166" fontId="24" fillId="0" borderId="22" xfId="0" applyNumberFormat="1" applyFont="1" applyBorder="1" applyAlignment="1">
      <alignment horizontal="left" vertical="top"/>
    </xf>
    <xf numFmtId="42" fontId="24" fillId="0" borderId="23" xfId="0" applyNumberFormat="1" applyFont="1" applyBorder="1" applyAlignment="1">
      <alignment horizontal="left" vertical="top"/>
    </xf>
    <xf numFmtId="42" fontId="24" fillId="0" borderId="0" xfId="0" applyNumberFormat="1" applyFont="1" applyAlignment="1">
      <alignment horizontal="left" vertical="top"/>
    </xf>
    <xf numFmtId="0" fontId="24" fillId="0" borderId="12" xfId="0" applyFont="1" applyBorder="1" applyAlignment="1">
      <alignment vertical="top"/>
    </xf>
    <xf numFmtId="165" fontId="24" fillId="0" borderId="12" xfId="0" applyNumberFormat="1" applyFont="1" applyBorder="1" applyAlignment="1">
      <alignment horizontal="center" vertical="top"/>
    </xf>
    <xf numFmtId="0" fontId="24" fillId="0" borderId="12" xfId="0" applyFont="1" applyBorder="1" applyAlignment="1">
      <alignment horizontal="center" vertical="top"/>
    </xf>
    <xf numFmtId="0" fontId="24" fillId="0" borderId="12" xfId="0" applyFont="1" applyBorder="1" applyAlignment="1">
      <alignment horizontal="right" vertical="top" wrapText="1"/>
    </xf>
    <xf numFmtId="42" fontId="25" fillId="0" borderId="18" xfId="0" applyNumberFormat="1" applyFont="1" applyBorder="1" applyAlignment="1">
      <alignment vertical="top"/>
    </xf>
    <xf numFmtId="167" fontId="25" fillId="0" borderId="18" xfId="0" applyNumberFormat="1" applyFont="1" applyBorder="1" applyAlignment="1">
      <alignment vertical="top"/>
    </xf>
    <xf numFmtId="165" fontId="24" fillId="0" borderId="0" xfId="0" applyNumberFormat="1" applyFont="1" applyAlignment="1">
      <alignment horizontal="center" vertical="top"/>
    </xf>
    <xf numFmtId="0" fontId="24" fillId="0" borderId="0" xfId="0" applyFont="1" applyAlignment="1">
      <alignment horizontal="right" vertical="top" wrapText="1"/>
    </xf>
    <xf numFmtId="42" fontId="25" fillId="0" borderId="0" xfId="0" applyNumberFormat="1" applyFont="1" applyAlignment="1">
      <alignment vertical="top"/>
    </xf>
    <xf numFmtId="2" fontId="25" fillId="0" borderId="0" xfId="0" applyNumberFormat="1" applyFont="1" applyAlignment="1">
      <alignment vertical="top" wrapText="1"/>
    </xf>
    <xf numFmtId="0" fontId="25" fillId="0" borderId="0" xfId="0" applyFont="1" applyAlignment="1">
      <alignment vertical="top"/>
    </xf>
    <xf numFmtId="0" fontId="25" fillId="0" borderId="0" xfId="0" applyFont="1" applyAlignment="1">
      <alignment vertical="top" wrapText="1"/>
    </xf>
    <xf numFmtId="0" fontId="27" fillId="24" borderId="30" xfId="0" applyFont="1" applyFill="1" applyBorder="1" applyAlignment="1">
      <alignment horizontal="center" vertical="top" wrapText="1"/>
    </xf>
    <xf numFmtId="0" fontId="25" fillId="25" borderId="25" xfId="0" quotePrefix="1" applyFont="1" applyFill="1" applyBorder="1" applyAlignment="1">
      <alignment horizontal="center" vertical="top"/>
    </xf>
    <xf numFmtId="0" fontId="25" fillId="0" borderId="12" xfId="0" applyFont="1" applyBorder="1" applyAlignment="1">
      <alignment horizontal="left" vertical="top"/>
    </xf>
    <xf numFmtId="9" fontId="24" fillId="0" borderId="0" xfId="0" applyNumberFormat="1" applyFont="1" applyAlignment="1">
      <alignment horizontal="right" vertical="top"/>
    </xf>
    <xf numFmtId="10" fontId="0" fillId="0" borderId="0" xfId="0" applyNumberFormat="1" applyAlignment="1">
      <alignment vertical="top"/>
    </xf>
    <xf numFmtId="0" fontId="0" fillId="0" borderId="0" xfId="0" applyAlignment="1">
      <alignment horizontal="right" vertical="top"/>
    </xf>
    <xf numFmtId="0" fontId="0" fillId="0" borderId="0" xfId="0" applyAlignment="1">
      <alignment vertical="top"/>
    </xf>
    <xf numFmtId="10" fontId="15" fillId="7" borderId="32" xfId="34" applyNumberFormat="1" applyBorder="1" applyAlignment="1">
      <alignment vertical="top"/>
    </xf>
    <xf numFmtId="9" fontId="24" fillId="0" borderId="12" xfId="0" applyNumberFormat="1" applyFont="1" applyBorder="1" applyAlignment="1">
      <alignment vertical="top"/>
    </xf>
    <xf numFmtId="0" fontId="25" fillId="25" borderId="0" xfId="0" applyFont="1" applyFill="1" applyAlignment="1">
      <alignment vertical="top"/>
    </xf>
    <xf numFmtId="42" fontId="25" fillId="0" borderId="33" xfId="0" applyNumberFormat="1" applyFont="1" applyBorder="1" applyAlignment="1">
      <alignment vertical="top"/>
    </xf>
    <xf numFmtId="167" fontId="24" fillId="0" borderId="0" xfId="0" applyNumberFormat="1" applyFont="1" applyAlignment="1">
      <alignment vertical="top"/>
    </xf>
    <xf numFmtId="0" fontId="27" fillId="24" borderId="34" xfId="0" applyFont="1" applyFill="1" applyBorder="1" applyAlignment="1">
      <alignment horizontal="center" vertical="top" wrapText="1"/>
    </xf>
    <xf numFmtId="2" fontId="27" fillId="24" borderId="35" xfId="0" applyNumberFormat="1" applyFont="1" applyFill="1" applyBorder="1" applyAlignment="1">
      <alignment horizontal="center" vertical="top" wrapText="1"/>
    </xf>
    <xf numFmtId="0" fontId="27" fillId="24" borderId="35" xfId="0" applyFont="1" applyFill="1" applyBorder="1" applyAlignment="1">
      <alignment horizontal="center" vertical="top" wrapText="1"/>
    </xf>
    <xf numFmtId="44" fontId="27" fillId="24" borderId="35" xfId="0" applyNumberFormat="1" applyFont="1" applyFill="1" applyBorder="1" applyAlignment="1">
      <alignment horizontal="center" vertical="top" wrapText="1"/>
    </xf>
    <xf numFmtId="0" fontId="27" fillId="24" borderId="36" xfId="0" applyFont="1" applyFill="1" applyBorder="1" applyAlignment="1">
      <alignment horizontal="center" vertical="top" wrapText="1"/>
    </xf>
    <xf numFmtId="42" fontId="25" fillId="0" borderId="38" xfId="0" applyNumberFormat="1" applyFont="1" applyBorder="1" applyAlignment="1">
      <alignment horizontal="left" vertical="top"/>
    </xf>
    <xf numFmtId="42" fontId="25" fillId="0" borderId="39" xfId="0" applyNumberFormat="1" applyFont="1" applyBorder="1" applyAlignment="1">
      <alignment vertical="top"/>
    </xf>
    <xf numFmtId="168" fontId="24" fillId="0" borderId="0" xfId="0" applyNumberFormat="1" applyFont="1" applyAlignment="1">
      <alignment vertical="top"/>
    </xf>
    <xf numFmtId="165" fontId="25" fillId="26" borderId="31" xfId="0" applyNumberFormat="1" applyFont="1" applyFill="1" applyBorder="1" applyAlignment="1">
      <alignment horizontal="center" vertical="top"/>
    </xf>
    <xf numFmtId="0" fontId="25" fillId="26" borderId="31" xfId="0" applyFont="1" applyFill="1" applyBorder="1" applyAlignment="1">
      <alignment vertical="top"/>
    </xf>
    <xf numFmtId="0" fontId="25" fillId="26" borderId="31" xfId="0" applyFont="1" applyFill="1" applyBorder="1" applyAlignment="1">
      <alignment horizontal="center" vertical="top"/>
    </xf>
    <xf numFmtId="42" fontId="25" fillId="26" borderId="37" xfId="0" applyNumberFormat="1" applyFont="1" applyFill="1" applyBorder="1" applyAlignment="1">
      <alignment vertical="top"/>
    </xf>
    <xf numFmtId="0" fontId="25" fillId="0" borderId="0" xfId="0" applyFont="1" applyAlignment="1">
      <alignment horizontal="left" vertical="top" wrapText="1"/>
    </xf>
    <xf numFmtId="0" fontId="41" fillId="0" borderId="0" xfId="0" applyFont="1" applyAlignment="1">
      <alignment horizontal="left" vertical="top" wrapText="1"/>
    </xf>
    <xf numFmtId="0" fontId="42" fillId="27" borderId="0" xfId="0" applyFont="1" applyFill="1" applyAlignment="1">
      <alignment horizontal="center" vertical="center"/>
    </xf>
    <xf numFmtId="0" fontId="42" fillId="27" borderId="40" xfId="0" applyFont="1" applyFill="1" applyBorder="1" applyAlignment="1">
      <alignment horizontal="center" vertical="center"/>
    </xf>
    <xf numFmtId="0" fontId="24" fillId="0" borderId="19" xfId="0" applyFont="1" applyBorder="1" applyAlignment="1">
      <alignment horizontal="center" vertical="top"/>
    </xf>
  </cellXfs>
  <cellStyles count="5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46" xr:uid="{00000000-0005-0000-0000-00001B000000}"/>
    <cellStyle name="Comma 2 2" xfId="48" xr:uid="{00000000-0005-0000-0000-00001C000000}"/>
    <cellStyle name="Currency 2" xfId="50" xr:uid="{00000000-0005-0000-0000-00001D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8000000}"/>
    <cellStyle name="Normal 2 2" xfId="47" xr:uid="{00000000-0005-0000-0000-000029000000}"/>
    <cellStyle name="Normal 2 3" xfId="45" xr:uid="{00000000-0005-0000-0000-00002A000000}"/>
    <cellStyle name="Normal 2 3 2" xfId="52" xr:uid="{00000000-0005-0000-0000-00002B000000}"/>
    <cellStyle name="Normal 3" xfId="37" xr:uid="{00000000-0005-0000-0000-00002C000000}"/>
    <cellStyle name="Normal 4" xfId="43" xr:uid="{00000000-0005-0000-0000-00002D000000}"/>
    <cellStyle name="Normal 4 2" xfId="53" xr:uid="{00000000-0005-0000-0000-00002E000000}"/>
    <cellStyle name="Normal 4 3" xfId="51" xr:uid="{00000000-0005-0000-0000-00002F000000}"/>
    <cellStyle name="Normal 5" xfId="49" xr:uid="{00000000-0005-0000-0000-000030000000}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1</xdr:row>
      <xdr:rowOff>168088</xdr:rowOff>
    </xdr:from>
    <xdr:to>
      <xdr:col>1</xdr:col>
      <xdr:colOff>2037229</xdr:colOff>
      <xdr:row>4</xdr:row>
      <xdr:rowOff>39220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326322-2F27-68A5-88E3-F832E88A9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705" y="369794"/>
          <a:ext cx="1981200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9"/>
  <sheetViews>
    <sheetView tabSelected="1" view="pageBreakPreview" zoomScale="85" zoomScaleNormal="85" zoomScaleSheetLayoutView="85" workbookViewId="0">
      <pane ySplit="7" topLeftCell="A8" activePane="bottomLeft" state="frozen"/>
      <selection pane="bottomLeft" sqref="A1:I6"/>
    </sheetView>
  </sheetViews>
  <sheetFormatPr defaultColWidth="9.6640625" defaultRowHeight="15.75" x14ac:dyDescent="0.2"/>
  <cols>
    <col min="1" max="1" width="6.109375" style="23" customWidth="1"/>
    <col min="2" max="2" width="46.5546875" style="67" customWidth="1"/>
    <col min="3" max="3" width="7.33203125" style="68" customWidth="1"/>
    <col min="4" max="4" width="6.44140625" style="68" customWidth="1"/>
    <col min="5" max="5" width="7.6640625" style="68" customWidth="1"/>
    <col min="6" max="6" width="6.5546875" style="23" customWidth="1"/>
    <col min="7" max="7" width="9.44140625" style="67" customWidth="1"/>
    <col min="8" max="8" width="11.5546875" style="67" customWidth="1"/>
    <col min="9" max="9" width="10.5546875" style="66" customWidth="1"/>
    <col min="10" max="13" width="9.6640625" style="64"/>
    <col min="14" max="14" width="36.5546875" style="64" bestFit="1" customWidth="1"/>
    <col min="15" max="21" width="9.77734375" style="64" bestFit="1" customWidth="1"/>
    <col min="22" max="22" width="10.33203125" style="64" bestFit="1" customWidth="1"/>
    <col min="23" max="16384" width="9.6640625" style="64"/>
  </cols>
  <sheetData>
    <row r="1" spans="1:21" x14ac:dyDescent="0.2">
      <c r="A1" s="144" t="s">
        <v>148</v>
      </c>
      <c r="B1" s="144"/>
      <c r="C1" s="144"/>
      <c r="D1" s="144"/>
      <c r="E1" s="144"/>
      <c r="F1" s="144"/>
      <c r="G1" s="144"/>
      <c r="H1" s="144"/>
      <c r="I1" s="144"/>
    </row>
    <row r="2" spans="1:21" x14ac:dyDescent="0.2">
      <c r="A2" s="144"/>
      <c r="B2" s="144"/>
      <c r="C2" s="144"/>
      <c r="D2" s="144"/>
      <c r="E2" s="144"/>
      <c r="F2" s="144"/>
      <c r="G2" s="144"/>
      <c r="H2" s="144"/>
      <c r="I2" s="144"/>
    </row>
    <row r="3" spans="1:21" x14ac:dyDescent="0.2">
      <c r="A3" s="144"/>
      <c r="B3" s="144"/>
      <c r="C3" s="144"/>
      <c r="D3" s="144"/>
      <c r="E3" s="144"/>
      <c r="F3" s="144"/>
      <c r="G3" s="144"/>
      <c r="H3" s="144"/>
      <c r="I3" s="144"/>
      <c r="Q3" s="123"/>
      <c r="R3" s="124"/>
    </row>
    <row r="4" spans="1:21" x14ac:dyDescent="0.2">
      <c r="A4" s="144"/>
      <c r="B4" s="144"/>
      <c r="C4" s="144"/>
      <c r="D4" s="144"/>
      <c r="E4" s="144"/>
      <c r="F4" s="144"/>
      <c r="G4" s="144"/>
      <c r="H4" s="144"/>
      <c r="I4" s="144"/>
      <c r="Q4" s="123"/>
      <c r="R4" s="124"/>
    </row>
    <row r="5" spans="1:21" ht="17.25" customHeight="1" x14ac:dyDescent="0.2">
      <c r="A5" s="144"/>
      <c r="B5" s="144"/>
      <c r="C5" s="144"/>
      <c r="D5" s="144"/>
      <c r="E5" s="144"/>
      <c r="F5" s="144"/>
      <c r="G5" s="144"/>
      <c r="H5" s="144"/>
      <c r="I5" s="144"/>
    </row>
    <row r="6" spans="1:21" ht="16.5" thickBot="1" x14ac:dyDescent="0.25">
      <c r="A6" s="145"/>
      <c r="B6" s="145"/>
      <c r="C6" s="145"/>
      <c r="D6" s="145"/>
      <c r="E6" s="145"/>
      <c r="F6" s="145"/>
      <c r="G6" s="145"/>
      <c r="H6" s="145"/>
      <c r="I6" s="145"/>
    </row>
    <row r="7" spans="1:21" s="74" customFormat="1" ht="31.5" x14ac:dyDescent="0.2">
      <c r="A7" s="130" t="s">
        <v>5</v>
      </c>
      <c r="B7" s="131" t="s">
        <v>2</v>
      </c>
      <c r="C7" s="131" t="s">
        <v>8</v>
      </c>
      <c r="D7" s="131" t="s">
        <v>69</v>
      </c>
      <c r="E7" s="131" t="s">
        <v>70</v>
      </c>
      <c r="F7" s="132" t="s">
        <v>0</v>
      </c>
      <c r="G7" s="133" t="s">
        <v>3</v>
      </c>
      <c r="H7" s="131" t="s">
        <v>95</v>
      </c>
      <c r="I7" s="134" t="s">
        <v>4</v>
      </c>
      <c r="P7" s="125"/>
      <c r="Q7" s="125"/>
      <c r="R7" s="125"/>
      <c r="S7" s="125"/>
      <c r="T7" s="125"/>
      <c r="U7" s="122"/>
    </row>
    <row r="8" spans="1:21" s="127" customFormat="1" x14ac:dyDescent="0.2">
      <c r="A8" s="138"/>
      <c r="B8" s="139" t="s">
        <v>100</v>
      </c>
      <c r="C8" s="138"/>
      <c r="D8" s="138"/>
      <c r="E8" s="138"/>
      <c r="F8" s="140"/>
      <c r="G8" s="139"/>
      <c r="H8" s="139"/>
      <c r="I8" s="141">
        <f>SUM(H9:H54)</f>
        <v>124247.6</v>
      </c>
    </row>
    <row r="9" spans="1:21" s="127" customFormat="1" x14ac:dyDescent="0.2">
      <c r="A9" s="23">
        <f>IF(F9&lt;&gt;"",1+MAX($A$8:A8),"")</f>
        <v>1</v>
      </c>
      <c r="B9" s="43" t="s">
        <v>106</v>
      </c>
      <c r="C9" s="96">
        <v>45</v>
      </c>
      <c r="D9" s="121">
        <v>0.1</v>
      </c>
      <c r="E9" s="96">
        <f t="shared" ref="E9:E54" si="0">C9*(1+D9)</f>
        <v>49.500000000000007</v>
      </c>
      <c r="F9" s="23" t="s">
        <v>101</v>
      </c>
      <c r="G9" s="137">
        <v>12</v>
      </c>
      <c r="H9" s="129">
        <f t="shared" ref="H9:H54" si="1">G9*E9</f>
        <v>594.00000000000011</v>
      </c>
      <c r="I9" s="135"/>
    </row>
    <row r="10" spans="1:21" s="127" customFormat="1" x14ac:dyDescent="0.2">
      <c r="A10" s="23">
        <f>IF(F10&lt;&gt;"",1+MAX($A$8:A9),"")</f>
        <v>2</v>
      </c>
      <c r="B10" s="43" t="s">
        <v>107</v>
      </c>
      <c r="C10" s="96">
        <v>123</v>
      </c>
      <c r="D10" s="121">
        <v>0.1</v>
      </c>
      <c r="E10" s="96">
        <f t="shared" si="0"/>
        <v>135.30000000000001</v>
      </c>
      <c r="F10" s="23" t="s">
        <v>101</v>
      </c>
      <c r="G10" s="137">
        <v>14</v>
      </c>
      <c r="H10" s="129">
        <f t="shared" si="1"/>
        <v>1894.2000000000003</v>
      </c>
      <c r="I10" s="135"/>
    </row>
    <row r="11" spans="1:21" s="127" customFormat="1" x14ac:dyDescent="0.2">
      <c r="A11" s="23">
        <f>IF(F11&lt;&gt;"",1+MAX($A$8:A10),"")</f>
        <v>3</v>
      </c>
      <c r="B11" s="43" t="s">
        <v>108</v>
      </c>
      <c r="C11" s="96">
        <v>183</v>
      </c>
      <c r="D11" s="121">
        <v>0.1</v>
      </c>
      <c r="E11" s="96">
        <f t="shared" si="0"/>
        <v>201.3</v>
      </c>
      <c r="F11" s="23" t="s">
        <v>101</v>
      </c>
      <c r="G11" s="137">
        <v>18</v>
      </c>
      <c r="H11" s="129">
        <f t="shared" si="1"/>
        <v>3623.4</v>
      </c>
      <c r="I11" s="135"/>
    </row>
    <row r="12" spans="1:21" s="127" customFormat="1" x14ac:dyDescent="0.2">
      <c r="A12" s="23">
        <f>IF(F12&lt;&gt;"",1+MAX($A$8:A11),"")</f>
        <v>4</v>
      </c>
      <c r="B12" s="43" t="s">
        <v>109</v>
      </c>
      <c r="C12" s="96">
        <v>119</v>
      </c>
      <c r="D12" s="121">
        <v>0.1</v>
      </c>
      <c r="E12" s="96">
        <f t="shared" si="0"/>
        <v>130.9</v>
      </c>
      <c r="F12" s="23" t="s">
        <v>101</v>
      </c>
      <c r="G12" s="137">
        <v>24</v>
      </c>
      <c r="H12" s="129">
        <f t="shared" si="1"/>
        <v>3141.6000000000004</v>
      </c>
      <c r="I12" s="135"/>
    </row>
    <row r="13" spans="1:21" s="127" customFormat="1" x14ac:dyDescent="0.2">
      <c r="A13" s="23">
        <f>IF(F13&lt;&gt;"",1+MAX($A$8:A12),"")</f>
        <v>5</v>
      </c>
      <c r="B13" s="43" t="s">
        <v>110</v>
      </c>
      <c r="C13" s="96">
        <v>45</v>
      </c>
      <c r="D13" s="121">
        <v>0.1</v>
      </c>
      <c r="E13" s="96">
        <f t="shared" si="0"/>
        <v>49.500000000000007</v>
      </c>
      <c r="F13" s="23" t="s">
        <v>101</v>
      </c>
      <c r="G13" s="137">
        <v>26</v>
      </c>
      <c r="H13" s="129">
        <f t="shared" si="1"/>
        <v>1287.0000000000002</v>
      </c>
      <c r="I13" s="135"/>
    </row>
    <row r="14" spans="1:21" s="127" customFormat="1" x14ac:dyDescent="0.2">
      <c r="A14" s="23">
        <f>IF(F14&lt;&gt;"",1+MAX($A$8:A13),"")</f>
        <v>6</v>
      </c>
      <c r="B14" s="43" t="s">
        <v>111</v>
      </c>
      <c r="C14" s="96">
        <v>4</v>
      </c>
      <c r="D14" s="121">
        <v>0.1</v>
      </c>
      <c r="E14" s="96">
        <f t="shared" si="0"/>
        <v>4.4000000000000004</v>
      </c>
      <c r="F14" s="23" t="s">
        <v>101</v>
      </c>
      <c r="G14" s="137">
        <v>34</v>
      </c>
      <c r="H14" s="129">
        <f t="shared" si="1"/>
        <v>149.60000000000002</v>
      </c>
      <c r="I14" s="135"/>
    </row>
    <row r="15" spans="1:21" s="127" customFormat="1" x14ac:dyDescent="0.2">
      <c r="A15" s="23">
        <f>IF(F15&lt;&gt;"",1+MAX($A$8:A14),"")</f>
        <v>7</v>
      </c>
      <c r="B15" s="43" t="s">
        <v>112</v>
      </c>
      <c r="C15" s="96">
        <v>44</v>
      </c>
      <c r="D15" s="121">
        <v>0.1</v>
      </c>
      <c r="E15" s="96">
        <f t="shared" si="0"/>
        <v>48.400000000000006</v>
      </c>
      <c r="F15" s="23" t="s">
        <v>101</v>
      </c>
      <c r="G15" s="137">
        <v>38</v>
      </c>
      <c r="H15" s="129">
        <f t="shared" si="1"/>
        <v>1839.2000000000003</v>
      </c>
      <c r="I15" s="135"/>
    </row>
    <row r="16" spans="1:21" s="127" customFormat="1" x14ac:dyDescent="0.2">
      <c r="A16" s="23">
        <f>IF(F16&lt;&gt;"",1+MAX($A$8:A15),"")</f>
        <v>8</v>
      </c>
      <c r="B16" s="43" t="s">
        <v>117</v>
      </c>
      <c r="C16" s="96">
        <v>37</v>
      </c>
      <c r="D16" s="121">
        <v>0.1</v>
      </c>
      <c r="E16" s="96">
        <f t="shared" si="0"/>
        <v>40.700000000000003</v>
      </c>
      <c r="F16" s="23" t="s">
        <v>101</v>
      </c>
      <c r="G16" s="137">
        <v>52</v>
      </c>
      <c r="H16" s="129">
        <f t="shared" si="1"/>
        <v>2116.4</v>
      </c>
      <c r="I16" s="135"/>
    </row>
    <row r="17" spans="1:9" s="127" customFormat="1" x14ac:dyDescent="0.2">
      <c r="A17" s="23">
        <f>IF(F17&lt;&gt;"",1+MAX($A$8:A16),"")</f>
        <v>9</v>
      </c>
      <c r="B17" s="43" t="s">
        <v>118</v>
      </c>
      <c r="C17" s="96">
        <v>37</v>
      </c>
      <c r="D17" s="121">
        <v>0.1</v>
      </c>
      <c r="E17" s="96">
        <f t="shared" si="0"/>
        <v>40.700000000000003</v>
      </c>
      <c r="F17" s="23" t="s">
        <v>101</v>
      </c>
      <c r="G17" s="137">
        <v>42</v>
      </c>
      <c r="H17" s="129">
        <f t="shared" si="1"/>
        <v>1709.4</v>
      </c>
      <c r="I17" s="135"/>
    </row>
    <row r="18" spans="1:9" s="127" customFormat="1" x14ac:dyDescent="0.2">
      <c r="A18" s="23">
        <f>IF(F18&lt;&gt;"",1+MAX($A$8:A17),"")</f>
        <v>10</v>
      </c>
      <c r="B18" s="43" t="s">
        <v>116</v>
      </c>
      <c r="C18" s="96">
        <v>36</v>
      </c>
      <c r="D18" s="121">
        <v>0.1</v>
      </c>
      <c r="E18" s="96">
        <f t="shared" si="0"/>
        <v>39.6</v>
      </c>
      <c r="F18" s="23" t="s">
        <v>101</v>
      </c>
      <c r="G18" s="137">
        <v>16</v>
      </c>
      <c r="H18" s="129">
        <f t="shared" si="1"/>
        <v>633.6</v>
      </c>
      <c r="I18" s="135"/>
    </row>
    <row r="19" spans="1:9" s="127" customFormat="1" x14ac:dyDescent="0.2">
      <c r="A19" s="23">
        <f>IF(F19&lt;&gt;"",1+MAX($A$8:A18),"")</f>
        <v>11</v>
      </c>
      <c r="B19" s="43" t="s">
        <v>113</v>
      </c>
      <c r="C19" s="96">
        <v>34</v>
      </c>
      <c r="D19" s="121">
        <v>0.1</v>
      </c>
      <c r="E19" s="96">
        <f t="shared" si="0"/>
        <v>37.400000000000006</v>
      </c>
      <c r="F19" s="23" t="s">
        <v>101</v>
      </c>
      <c r="G19" s="137">
        <v>18</v>
      </c>
      <c r="H19" s="129">
        <f t="shared" si="1"/>
        <v>673.2</v>
      </c>
      <c r="I19" s="135"/>
    </row>
    <row r="20" spans="1:9" s="127" customFormat="1" x14ac:dyDescent="0.2">
      <c r="A20" s="23">
        <f>IF(F20&lt;&gt;"",1+MAX($A$8:A19),"")</f>
        <v>12</v>
      </c>
      <c r="B20" s="43" t="s">
        <v>114</v>
      </c>
      <c r="C20" s="96">
        <v>16</v>
      </c>
      <c r="D20" s="121">
        <v>0.1</v>
      </c>
      <c r="E20" s="96">
        <f t="shared" si="0"/>
        <v>17.600000000000001</v>
      </c>
      <c r="F20" s="23" t="s">
        <v>101</v>
      </c>
      <c r="G20" s="137">
        <v>22</v>
      </c>
      <c r="H20" s="129">
        <f t="shared" si="1"/>
        <v>387.20000000000005</v>
      </c>
      <c r="I20" s="135"/>
    </row>
    <row r="21" spans="1:9" s="127" customFormat="1" x14ac:dyDescent="0.2">
      <c r="A21" s="23">
        <f>IF(F21&lt;&gt;"",1+MAX($A$8:A20),"")</f>
        <v>13</v>
      </c>
      <c r="B21" s="43" t="s">
        <v>115</v>
      </c>
      <c r="C21" s="96">
        <v>18</v>
      </c>
      <c r="D21" s="121">
        <v>0.1</v>
      </c>
      <c r="E21" s="96">
        <f t="shared" si="0"/>
        <v>19.8</v>
      </c>
      <c r="F21" s="23" t="s">
        <v>101</v>
      </c>
      <c r="G21" s="137">
        <v>24</v>
      </c>
      <c r="H21" s="129">
        <f t="shared" si="1"/>
        <v>475.20000000000005</v>
      </c>
      <c r="I21" s="135"/>
    </row>
    <row r="22" spans="1:9" s="127" customFormat="1" x14ac:dyDescent="0.2">
      <c r="A22" s="23">
        <f>IF(F22&lt;&gt;"",1+MAX($A$8:A21),"")</f>
        <v>14</v>
      </c>
      <c r="B22" s="43" t="s">
        <v>103</v>
      </c>
      <c r="C22" s="96">
        <v>11</v>
      </c>
      <c r="D22" s="121">
        <v>0.1</v>
      </c>
      <c r="E22" s="96">
        <f t="shared" si="0"/>
        <v>12.100000000000001</v>
      </c>
      <c r="F22" s="23" t="s">
        <v>101</v>
      </c>
      <c r="G22" s="137">
        <v>14</v>
      </c>
      <c r="H22" s="129">
        <f t="shared" si="1"/>
        <v>169.40000000000003</v>
      </c>
      <c r="I22" s="135"/>
    </row>
    <row r="23" spans="1:9" s="127" customFormat="1" x14ac:dyDescent="0.2">
      <c r="A23" s="23">
        <f>IF(F23&lt;&gt;"",1+MAX($A$8:A22),"")</f>
        <v>15</v>
      </c>
      <c r="B23" s="43" t="s">
        <v>104</v>
      </c>
      <c r="C23" s="96">
        <v>12</v>
      </c>
      <c r="D23" s="121">
        <v>0.1</v>
      </c>
      <c r="E23" s="96">
        <f t="shared" si="0"/>
        <v>13.200000000000001</v>
      </c>
      <c r="F23" s="23" t="s">
        <v>101</v>
      </c>
      <c r="G23" s="137">
        <v>20</v>
      </c>
      <c r="H23" s="129">
        <f t="shared" si="1"/>
        <v>264</v>
      </c>
      <c r="I23" s="135"/>
    </row>
    <row r="24" spans="1:9" s="127" customFormat="1" x14ac:dyDescent="0.2">
      <c r="A24" s="23">
        <f>IF(F24&lt;&gt;"",1+MAX($A$8:A23),"")</f>
        <v>16</v>
      </c>
      <c r="B24" s="43" t="s">
        <v>119</v>
      </c>
      <c r="C24" s="96">
        <v>288</v>
      </c>
      <c r="D24" s="121">
        <v>0.1</v>
      </c>
      <c r="E24" s="96">
        <f t="shared" si="0"/>
        <v>316.8</v>
      </c>
      <c r="F24" s="23" t="s">
        <v>101</v>
      </c>
      <c r="G24" s="137">
        <v>14</v>
      </c>
      <c r="H24" s="129">
        <f t="shared" si="1"/>
        <v>4435.2</v>
      </c>
      <c r="I24" s="135"/>
    </row>
    <row r="25" spans="1:9" s="127" customFormat="1" x14ac:dyDescent="0.2">
      <c r="A25" s="23">
        <f>IF(F25&lt;&gt;"",1+MAX($A$8:A24),"")</f>
        <v>17</v>
      </c>
      <c r="B25" s="43" t="s">
        <v>126</v>
      </c>
      <c r="C25" s="96">
        <v>2463</v>
      </c>
      <c r="D25" s="121">
        <v>0.1</v>
      </c>
      <c r="E25" s="96">
        <f t="shared" si="0"/>
        <v>2709.3</v>
      </c>
      <c r="F25" s="23" t="s">
        <v>21</v>
      </c>
      <c r="G25" s="137">
        <v>12</v>
      </c>
      <c r="H25" s="129">
        <f t="shared" si="1"/>
        <v>32511.600000000002</v>
      </c>
      <c r="I25" s="135"/>
    </row>
    <row r="26" spans="1:9" s="127" customFormat="1" x14ac:dyDescent="0.2">
      <c r="A26" s="23">
        <f>IF(F26&lt;&gt;"",1+MAX($A$8:A25),"")</f>
        <v>18</v>
      </c>
      <c r="B26" s="43" t="s">
        <v>120</v>
      </c>
      <c r="C26" s="96">
        <v>12</v>
      </c>
      <c r="D26" s="121">
        <v>0.1</v>
      </c>
      <c r="E26" s="96">
        <f t="shared" si="0"/>
        <v>13.200000000000001</v>
      </c>
      <c r="F26" s="23" t="s">
        <v>101</v>
      </c>
      <c r="G26" s="137">
        <v>36</v>
      </c>
      <c r="H26" s="129">
        <f t="shared" si="1"/>
        <v>475.20000000000005</v>
      </c>
      <c r="I26" s="135"/>
    </row>
    <row r="27" spans="1:9" s="127" customFormat="1" x14ac:dyDescent="0.2">
      <c r="A27" s="23">
        <f>IF(F27&lt;&gt;"",1+MAX($A$8:A26),"")</f>
        <v>19</v>
      </c>
      <c r="B27" s="43" t="s">
        <v>121</v>
      </c>
      <c r="C27" s="96">
        <v>11</v>
      </c>
      <c r="D27" s="121">
        <v>0.1</v>
      </c>
      <c r="E27" s="96">
        <f t="shared" si="0"/>
        <v>12.100000000000001</v>
      </c>
      <c r="F27" s="23" t="s">
        <v>101</v>
      </c>
      <c r="G27" s="137">
        <v>36</v>
      </c>
      <c r="H27" s="129">
        <f t="shared" si="1"/>
        <v>435.6</v>
      </c>
      <c r="I27" s="135"/>
    </row>
    <row r="28" spans="1:9" s="127" customFormat="1" x14ac:dyDescent="0.2">
      <c r="A28" s="23">
        <f>IF(F28&lt;&gt;"",1+MAX($A$8:A27),"")</f>
        <v>20</v>
      </c>
      <c r="B28" s="43" t="s">
        <v>122</v>
      </c>
      <c r="C28" s="96">
        <v>157</v>
      </c>
      <c r="D28" s="121">
        <v>0.1</v>
      </c>
      <c r="E28" s="96">
        <f t="shared" si="0"/>
        <v>172.70000000000002</v>
      </c>
      <c r="F28" s="23" t="s">
        <v>101</v>
      </c>
      <c r="G28" s="137">
        <v>32</v>
      </c>
      <c r="H28" s="129">
        <f t="shared" si="1"/>
        <v>5526.4000000000005</v>
      </c>
      <c r="I28" s="135"/>
    </row>
    <row r="29" spans="1:9" s="127" customFormat="1" x14ac:dyDescent="0.2">
      <c r="A29" s="23">
        <f>IF(F29&lt;&gt;"",1+MAX($A$8:A28),"")</f>
        <v>21</v>
      </c>
      <c r="B29" s="43" t="s">
        <v>123</v>
      </c>
      <c r="C29" s="96">
        <v>151</v>
      </c>
      <c r="D29" s="121">
        <v>0.1</v>
      </c>
      <c r="E29" s="96">
        <f t="shared" si="0"/>
        <v>166.10000000000002</v>
      </c>
      <c r="F29" s="23" t="s">
        <v>101</v>
      </c>
      <c r="G29" s="137">
        <v>32</v>
      </c>
      <c r="H29" s="129">
        <f t="shared" si="1"/>
        <v>5315.2000000000007</v>
      </c>
      <c r="I29" s="135"/>
    </row>
    <row r="30" spans="1:9" s="127" customFormat="1" x14ac:dyDescent="0.2">
      <c r="A30" s="23">
        <f>IF(F30&lt;&gt;"",1+MAX($A$8:A29),"")</f>
        <v>22</v>
      </c>
      <c r="B30" s="43" t="s">
        <v>124</v>
      </c>
      <c r="C30" s="96">
        <v>463</v>
      </c>
      <c r="D30" s="121">
        <v>0.1</v>
      </c>
      <c r="E30" s="96">
        <f t="shared" si="0"/>
        <v>509.30000000000007</v>
      </c>
      <c r="F30" s="23" t="s">
        <v>101</v>
      </c>
      <c r="G30" s="137">
        <v>15</v>
      </c>
      <c r="H30" s="129">
        <f t="shared" si="1"/>
        <v>7639.5000000000009</v>
      </c>
      <c r="I30" s="135"/>
    </row>
    <row r="31" spans="1:9" s="127" customFormat="1" x14ac:dyDescent="0.2">
      <c r="A31" s="23">
        <f>IF(F31&lt;&gt;"",1+MAX($A$8:A30),"")</f>
        <v>23</v>
      </c>
      <c r="B31" s="43" t="s">
        <v>125</v>
      </c>
      <c r="C31" s="96">
        <v>481</v>
      </c>
      <c r="D31" s="121">
        <v>0.1</v>
      </c>
      <c r="E31" s="96">
        <f t="shared" si="0"/>
        <v>529.1</v>
      </c>
      <c r="F31" s="23" t="s">
        <v>101</v>
      </c>
      <c r="G31" s="137">
        <v>15</v>
      </c>
      <c r="H31" s="129">
        <f t="shared" si="1"/>
        <v>7936.5</v>
      </c>
      <c r="I31" s="135"/>
    </row>
    <row r="32" spans="1:9" s="127" customFormat="1" x14ac:dyDescent="0.2">
      <c r="A32" s="23">
        <f>IF(F32&lt;&gt;"",1+MAX($A$8:A31),"")</f>
        <v>24</v>
      </c>
      <c r="B32" s="43" t="s">
        <v>127</v>
      </c>
      <c r="C32" s="96">
        <v>1</v>
      </c>
      <c r="D32" s="121">
        <v>0</v>
      </c>
      <c r="E32" s="96">
        <f t="shared" si="0"/>
        <v>1</v>
      </c>
      <c r="F32" s="23" t="s">
        <v>98</v>
      </c>
      <c r="G32" s="137">
        <v>20</v>
      </c>
      <c r="H32" s="129">
        <f t="shared" si="1"/>
        <v>20</v>
      </c>
      <c r="I32" s="135"/>
    </row>
    <row r="33" spans="1:9" s="127" customFormat="1" x14ac:dyDescent="0.2">
      <c r="A33" s="23">
        <f>IF(F33&lt;&gt;"",1+MAX($A$8:A32),"")</f>
        <v>25</v>
      </c>
      <c r="B33" s="43" t="s">
        <v>128</v>
      </c>
      <c r="C33" s="96">
        <v>1</v>
      </c>
      <c r="D33" s="121">
        <v>0</v>
      </c>
      <c r="E33" s="96">
        <f t="shared" si="0"/>
        <v>1</v>
      </c>
      <c r="F33" s="23" t="s">
        <v>98</v>
      </c>
      <c r="G33" s="137">
        <v>25</v>
      </c>
      <c r="H33" s="129">
        <f t="shared" si="1"/>
        <v>25</v>
      </c>
      <c r="I33" s="135"/>
    </row>
    <row r="34" spans="1:9" s="127" customFormat="1" x14ac:dyDescent="0.2">
      <c r="A34" s="23">
        <f>IF(F34&lt;&gt;"",1+MAX($A$8:A33),"")</f>
        <v>26</v>
      </c>
      <c r="B34" s="43" t="s">
        <v>105</v>
      </c>
      <c r="C34" s="96">
        <v>4</v>
      </c>
      <c r="D34" s="121">
        <v>0</v>
      </c>
      <c r="E34" s="96">
        <f t="shared" si="0"/>
        <v>4</v>
      </c>
      <c r="F34" s="23" t="s">
        <v>98</v>
      </c>
      <c r="G34" s="137">
        <v>35</v>
      </c>
      <c r="H34" s="129">
        <f t="shared" si="1"/>
        <v>140</v>
      </c>
      <c r="I34" s="135"/>
    </row>
    <row r="35" spans="1:9" s="127" customFormat="1" x14ac:dyDescent="0.2">
      <c r="A35" s="23">
        <f>IF(F35&lt;&gt;"",1+MAX($A$8:A34),"")</f>
        <v>27</v>
      </c>
      <c r="B35" s="43" t="s">
        <v>129</v>
      </c>
      <c r="C35" s="96">
        <v>1</v>
      </c>
      <c r="D35" s="121">
        <v>0</v>
      </c>
      <c r="E35" s="96">
        <f t="shared" si="0"/>
        <v>1</v>
      </c>
      <c r="F35" s="23" t="s">
        <v>98</v>
      </c>
      <c r="G35" s="137">
        <v>35</v>
      </c>
      <c r="H35" s="129">
        <f t="shared" si="1"/>
        <v>35</v>
      </c>
      <c r="I35" s="135"/>
    </row>
    <row r="36" spans="1:9" s="127" customFormat="1" x14ac:dyDescent="0.2">
      <c r="A36" s="23">
        <f>IF(F36&lt;&gt;"",1+MAX($A$8:A35),"")</f>
        <v>28</v>
      </c>
      <c r="B36" s="43" t="s">
        <v>130</v>
      </c>
      <c r="C36" s="96">
        <v>1</v>
      </c>
      <c r="D36" s="121">
        <v>0</v>
      </c>
      <c r="E36" s="96">
        <f t="shared" si="0"/>
        <v>1</v>
      </c>
      <c r="F36" s="23" t="s">
        <v>98</v>
      </c>
      <c r="G36" s="137">
        <v>80</v>
      </c>
      <c r="H36" s="129">
        <f t="shared" si="1"/>
        <v>80</v>
      </c>
      <c r="I36" s="135"/>
    </row>
    <row r="37" spans="1:9" s="127" customFormat="1" x14ac:dyDescent="0.2">
      <c r="A37" s="23">
        <f>IF(F37&lt;&gt;"",1+MAX($A$8:A36),"")</f>
        <v>29</v>
      </c>
      <c r="B37" s="43" t="s">
        <v>131</v>
      </c>
      <c r="C37" s="96">
        <v>1</v>
      </c>
      <c r="D37" s="121">
        <v>0</v>
      </c>
      <c r="E37" s="96">
        <f t="shared" si="0"/>
        <v>1</v>
      </c>
      <c r="F37" s="23" t="s">
        <v>98</v>
      </c>
      <c r="G37" s="137">
        <v>85</v>
      </c>
      <c r="H37" s="129">
        <f t="shared" si="1"/>
        <v>85</v>
      </c>
      <c r="I37" s="135"/>
    </row>
    <row r="38" spans="1:9" s="127" customFormat="1" ht="15.75" customHeight="1" x14ac:dyDescent="0.2">
      <c r="A38" s="23">
        <f>IF(F38&lt;&gt;"",1+MAX($A$8:A37),"")</f>
        <v>30</v>
      </c>
      <c r="B38" s="43" t="s">
        <v>132</v>
      </c>
      <c r="C38" s="96">
        <v>1</v>
      </c>
      <c r="D38" s="121">
        <v>0</v>
      </c>
      <c r="E38" s="96">
        <f t="shared" si="0"/>
        <v>1</v>
      </c>
      <c r="F38" s="23" t="s">
        <v>98</v>
      </c>
      <c r="G38" s="137">
        <v>115</v>
      </c>
      <c r="H38" s="129">
        <f t="shared" si="1"/>
        <v>115</v>
      </c>
      <c r="I38" s="135"/>
    </row>
    <row r="39" spans="1:9" s="127" customFormat="1" ht="18.75" customHeight="1" x14ac:dyDescent="0.2">
      <c r="A39" s="23">
        <f>IF(F39&lt;&gt;"",1+MAX($A$8:A38),"")</f>
        <v>31</v>
      </c>
      <c r="B39" s="43" t="s">
        <v>133</v>
      </c>
      <c r="C39" s="96">
        <v>2</v>
      </c>
      <c r="D39" s="121">
        <v>0</v>
      </c>
      <c r="E39" s="96">
        <f t="shared" si="0"/>
        <v>2</v>
      </c>
      <c r="F39" s="23" t="s">
        <v>98</v>
      </c>
      <c r="G39" s="137">
        <v>150</v>
      </c>
      <c r="H39" s="129">
        <f t="shared" si="1"/>
        <v>300</v>
      </c>
      <c r="I39" s="135"/>
    </row>
    <row r="40" spans="1:9" s="127" customFormat="1" ht="18.75" customHeight="1" x14ac:dyDescent="0.2">
      <c r="A40" s="23">
        <f>IF(F40&lt;&gt;"",1+MAX($A$8:A39),"")</f>
        <v>32</v>
      </c>
      <c r="B40" s="43" t="s">
        <v>102</v>
      </c>
      <c r="C40" s="96">
        <v>11</v>
      </c>
      <c r="D40" s="121">
        <v>0</v>
      </c>
      <c r="E40" s="96">
        <f t="shared" si="0"/>
        <v>11</v>
      </c>
      <c r="F40" s="23" t="s">
        <v>98</v>
      </c>
      <c r="G40" s="137">
        <v>75</v>
      </c>
      <c r="H40" s="129">
        <f t="shared" si="1"/>
        <v>825</v>
      </c>
      <c r="I40" s="135"/>
    </row>
    <row r="41" spans="1:9" s="127" customFormat="1" ht="16.5" customHeight="1" x14ac:dyDescent="0.2">
      <c r="A41" s="23">
        <f>IF(F41&lt;&gt;"",1+MAX($A$8:A40),"")</f>
        <v>33</v>
      </c>
      <c r="B41" s="43" t="s">
        <v>134</v>
      </c>
      <c r="C41" s="96">
        <v>8</v>
      </c>
      <c r="D41" s="121">
        <v>0</v>
      </c>
      <c r="E41" s="96">
        <f t="shared" si="0"/>
        <v>8</v>
      </c>
      <c r="F41" s="23" t="s">
        <v>98</v>
      </c>
      <c r="G41" s="137">
        <v>55</v>
      </c>
      <c r="H41" s="129">
        <f t="shared" si="1"/>
        <v>440</v>
      </c>
      <c r="I41" s="135"/>
    </row>
    <row r="42" spans="1:9" s="127" customFormat="1" x14ac:dyDescent="0.2">
      <c r="A42" s="23">
        <f>IF(F42&lt;&gt;"",1+MAX($A$8:A41),"")</f>
        <v>34</v>
      </c>
      <c r="B42" s="43" t="s">
        <v>135</v>
      </c>
      <c r="C42" s="96">
        <v>1</v>
      </c>
      <c r="D42" s="121">
        <v>0</v>
      </c>
      <c r="E42" s="96">
        <f t="shared" si="0"/>
        <v>1</v>
      </c>
      <c r="F42" s="23" t="s">
        <v>98</v>
      </c>
      <c r="G42" s="137">
        <v>7650</v>
      </c>
      <c r="H42" s="129">
        <f t="shared" si="1"/>
        <v>7650</v>
      </c>
      <c r="I42" s="135"/>
    </row>
    <row r="43" spans="1:9" s="127" customFormat="1" x14ac:dyDescent="0.2">
      <c r="A43" s="23">
        <f>IF(F43&lt;&gt;"",1+MAX($A$8:A42),"")</f>
        <v>35</v>
      </c>
      <c r="B43" s="43" t="s">
        <v>136</v>
      </c>
      <c r="C43" s="96">
        <v>2</v>
      </c>
      <c r="D43" s="121">
        <v>0</v>
      </c>
      <c r="E43" s="96">
        <f t="shared" si="0"/>
        <v>2</v>
      </c>
      <c r="F43" s="23" t="s">
        <v>98</v>
      </c>
      <c r="G43" s="137">
        <v>450</v>
      </c>
      <c r="H43" s="129">
        <f t="shared" si="1"/>
        <v>900</v>
      </c>
      <c r="I43" s="135"/>
    </row>
    <row r="44" spans="1:9" s="127" customFormat="1" x14ac:dyDescent="0.2">
      <c r="A44" s="23">
        <f>IF(F44&lt;&gt;"",1+MAX($A$8:A43),"")</f>
        <v>36</v>
      </c>
      <c r="B44" s="43" t="s">
        <v>137</v>
      </c>
      <c r="C44" s="96">
        <v>2</v>
      </c>
      <c r="D44" s="121">
        <v>0</v>
      </c>
      <c r="E44" s="96">
        <f t="shared" si="0"/>
        <v>2</v>
      </c>
      <c r="F44" s="23" t="s">
        <v>98</v>
      </c>
      <c r="G44" s="137">
        <v>750</v>
      </c>
      <c r="H44" s="129">
        <f t="shared" si="1"/>
        <v>1500</v>
      </c>
      <c r="I44" s="135"/>
    </row>
    <row r="45" spans="1:9" s="127" customFormat="1" x14ac:dyDescent="0.2">
      <c r="A45" s="23">
        <f>IF(F45&lt;&gt;"",1+MAX($A$8:A44),"")</f>
        <v>37</v>
      </c>
      <c r="B45" s="43" t="s">
        <v>138</v>
      </c>
      <c r="C45" s="96">
        <v>14</v>
      </c>
      <c r="D45" s="121">
        <v>0</v>
      </c>
      <c r="E45" s="96">
        <f t="shared" si="0"/>
        <v>14</v>
      </c>
      <c r="F45" s="23" t="s">
        <v>98</v>
      </c>
      <c r="G45" s="137">
        <v>750</v>
      </c>
      <c r="H45" s="129">
        <f t="shared" si="1"/>
        <v>10500</v>
      </c>
      <c r="I45" s="135"/>
    </row>
    <row r="46" spans="1:9" s="127" customFormat="1" x14ac:dyDescent="0.2">
      <c r="A46" s="23">
        <f>IF(F46&lt;&gt;"",1+MAX($A$8:A45),"")</f>
        <v>38</v>
      </c>
      <c r="B46" s="43" t="s">
        <v>139</v>
      </c>
      <c r="C46" s="96">
        <v>2</v>
      </c>
      <c r="D46" s="121">
        <v>0</v>
      </c>
      <c r="E46" s="96">
        <f t="shared" si="0"/>
        <v>2</v>
      </c>
      <c r="F46" s="23" t="s">
        <v>98</v>
      </c>
      <c r="G46" s="137">
        <v>675</v>
      </c>
      <c r="H46" s="129">
        <f t="shared" si="1"/>
        <v>1350</v>
      </c>
      <c r="I46" s="135"/>
    </row>
    <row r="47" spans="1:9" s="127" customFormat="1" x14ac:dyDescent="0.2">
      <c r="A47" s="23">
        <f>IF(F47&lt;&gt;"",1+MAX($A$8:A46),"")</f>
        <v>39</v>
      </c>
      <c r="B47" s="43" t="s">
        <v>140</v>
      </c>
      <c r="C47" s="96">
        <v>2</v>
      </c>
      <c r="D47" s="121">
        <v>0</v>
      </c>
      <c r="E47" s="96">
        <f t="shared" si="0"/>
        <v>2</v>
      </c>
      <c r="F47" s="23" t="s">
        <v>98</v>
      </c>
      <c r="G47" s="137">
        <v>850</v>
      </c>
      <c r="H47" s="129">
        <f t="shared" si="1"/>
        <v>1700</v>
      </c>
      <c r="I47" s="135"/>
    </row>
    <row r="48" spans="1:9" s="127" customFormat="1" x14ac:dyDescent="0.2">
      <c r="A48" s="23">
        <f>IF(F48&lt;&gt;"",1+MAX($A$8:A47),"")</f>
        <v>40</v>
      </c>
      <c r="B48" s="43" t="s">
        <v>141</v>
      </c>
      <c r="C48" s="96">
        <v>2</v>
      </c>
      <c r="D48" s="121">
        <v>0</v>
      </c>
      <c r="E48" s="96">
        <f t="shared" si="0"/>
        <v>2</v>
      </c>
      <c r="F48" s="23" t="s">
        <v>98</v>
      </c>
      <c r="G48" s="137">
        <v>1350</v>
      </c>
      <c r="H48" s="129">
        <f t="shared" si="1"/>
        <v>2700</v>
      </c>
      <c r="I48" s="135"/>
    </row>
    <row r="49" spans="1:9" s="127" customFormat="1" x14ac:dyDescent="0.2">
      <c r="A49" s="23">
        <f>IF(F49&lt;&gt;"",1+MAX($A$8:A48),"")</f>
        <v>41</v>
      </c>
      <c r="B49" s="43" t="s">
        <v>142</v>
      </c>
      <c r="C49" s="96">
        <v>2</v>
      </c>
      <c r="D49" s="121">
        <v>0</v>
      </c>
      <c r="E49" s="96">
        <f t="shared" si="0"/>
        <v>2</v>
      </c>
      <c r="F49" s="23" t="s">
        <v>98</v>
      </c>
      <c r="G49" s="137">
        <v>950</v>
      </c>
      <c r="H49" s="129">
        <f t="shared" si="1"/>
        <v>1900</v>
      </c>
      <c r="I49" s="135"/>
    </row>
    <row r="50" spans="1:9" s="127" customFormat="1" x14ac:dyDescent="0.2">
      <c r="A50" s="23">
        <f>IF(F50&lt;&gt;"",1+MAX($A$8:A49),"")</f>
        <v>42</v>
      </c>
      <c r="B50" s="43" t="s">
        <v>143</v>
      </c>
      <c r="C50" s="96">
        <v>2</v>
      </c>
      <c r="D50" s="121">
        <v>0</v>
      </c>
      <c r="E50" s="96">
        <f t="shared" si="0"/>
        <v>2</v>
      </c>
      <c r="F50" s="23" t="s">
        <v>98</v>
      </c>
      <c r="G50" s="137">
        <v>725</v>
      </c>
      <c r="H50" s="129">
        <f t="shared" si="1"/>
        <v>1450</v>
      </c>
      <c r="I50" s="135"/>
    </row>
    <row r="51" spans="1:9" s="127" customFormat="1" x14ac:dyDescent="0.2">
      <c r="A51" s="23">
        <f>IF(F51&lt;&gt;"",1+MAX($A$8:A50),"")</f>
        <v>43</v>
      </c>
      <c r="B51" s="43" t="s">
        <v>144</v>
      </c>
      <c r="C51" s="96">
        <v>1</v>
      </c>
      <c r="D51" s="121">
        <v>0</v>
      </c>
      <c r="E51" s="96">
        <f t="shared" si="0"/>
        <v>1</v>
      </c>
      <c r="F51" s="23" t="s">
        <v>98</v>
      </c>
      <c r="G51" s="137">
        <v>450</v>
      </c>
      <c r="H51" s="129">
        <f t="shared" si="1"/>
        <v>450</v>
      </c>
      <c r="I51" s="135"/>
    </row>
    <row r="52" spans="1:9" s="127" customFormat="1" x14ac:dyDescent="0.2">
      <c r="A52" s="23">
        <f>IF(F52&lt;&gt;"",1+MAX($A$8:A51),"")</f>
        <v>44</v>
      </c>
      <c r="B52" s="43" t="s">
        <v>145</v>
      </c>
      <c r="C52" s="96">
        <v>1</v>
      </c>
      <c r="D52" s="121">
        <v>0</v>
      </c>
      <c r="E52" s="96">
        <f t="shared" si="0"/>
        <v>1</v>
      </c>
      <c r="F52" s="23" t="s">
        <v>98</v>
      </c>
      <c r="G52" s="137">
        <v>750</v>
      </c>
      <c r="H52" s="129">
        <f t="shared" si="1"/>
        <v>750</v>
      </c>
      <c r="I52" s="135"/>
    </row>
    <row r="53" spans="1:9" s="127" customFormat="1" x14ac:dyDescent="0.2">
      <c r="A53" s="23">
        <f>IF(F53&lt;&gt;"",1+MAX($A$8:A52),"")</f>
        <v>45</v>
      </c>
      <c r="B53" s="43" t="s">
        <v>146</v>
      </c>
      <c r="C53" s="96">
        <v>1</v>
      </c>
      <c r="D53" s="121">
        <v>0</v>
      </c>
      <c r="E53" s="96">
        <f t="shared" si="0"/>
        <v>1</v>
      </c>
      <c r="F53" s="23" t="s">
        <v>98</v>
      </c>
      <c r="G53" s="137">
        <v>950</v>
      </c>
      <c r="H53" s="129">
        <f t="shared" si="1"/>
        <v>950</v>
      </c>
      <c r="I53" s="135"/>
    </row>
    <row r="54" spans="1:9" s="127" customFormat="1" ht="16.5" thickBot="1" x14ac:dyDescent="0.25">
      <c r="A54" s="23">
        <f>IF(F54&lt;&gt;"",1+MAX($A$8:A53),"")</f>
        <v>46</v>
      </c>
      <c r="B54" s="43" t="s">
        <v>147</v>
      </c>
      <c r="C54" s="96">
        <v>26</v>
      </c>
      <c r="D54" s="121">
        <v>0</v>
      </c>
      <c r="E54" s="96">
        <f t="shared" si="0"/>
        <v>26</v>
      </c>
      <c r="F54" s="23" t="s">
        <v>98</v>
      </c>
      <c r="G54" s="137">
        <v>275</v>
      </c>
      <c r="H54" s="129">
        <f t="shared" si="1"/>
        <v>7150</v>
      </c>
      <c r="I54" s="135"/>
    </row>
    <row r="55" spans="1:9" ht="16.5" thickBot="1" x14ac:dyDescent="0.25">
      <c r="A55" s="55" t="s">
        <v>67</v>
      </c>
      <c r="B55" s="106"/>
      <c r="C55" s="107"/>
      <c r="D55" s="107"/>
      <c r="E55" s="107"/>
      <c r="F55" s="108"/>
      <c r="G55" s="106"/>
      <c r="H55" s="128">
        <f>SUM(H8:H54)</f>
        <v>124247.6</v>
      </c>
      <c r="I55" s="110">
        <f>SUM(I8:I39)</f>
        <v>124247.6</v>
      </c>
    </row>
    <row r="56" spans="1:9" ht="16.5" thickBot="1" x14ac:dyDescent="0.25">
      <c r="A56" s="55" t="s">
        <v>96</v>
      </c>
      <c r="B56" s="106"/>
      <c r="C56" s="107"/>
      <c r="D56" s="107"/>
      <c r="E56" s="107"/>
      <c r="F56" s="108"/>
      <c r="G56" s="126">
        <v>0.25</v>
      </c>
      <c r="H56" s="128">
        <f>G56*H55</f>
        <v>31061.9</v>
      </c>
      <c r="I56" s="136">
        <f>G56*I55</f>
        <v>31061.9</v>
      </c>
    </row>
    <row r="57" spans="1:9" ht="16.5" thickBot="1" x14ac:dyDescent="0.25">
      <c r="A57" s="55" t="s">
        <v>68</v>
      </c>
      <c r="B57" s="106"/>
      <c r="C57" s="107"/>
      <c r="D57" s="107"/>
      <c r="E57" s="107"/>
      <c r="F57" s="108"/>
      <c r="G57" s="106"/>
      <c r="H57" s="128">
        <f>SUM(H55:H56)</f>
        <v>155309.5</v>
      </c>
      <c r="I57" s="136">
        <f>SUM(I55:I56)</f>
        <v>155309.5</v>
      </c>
    </row>
    <row r="58" spans="1:9" s="5" customFormat="1" ht="54" customHeight="1" x14ac:dyDescent="0.2">
      <c r="A58" s="142" t="s">
        <v>99</v>
      </c>
      <c r="B58" s="142"/>
      <c r="C58" s="142"/>
      <c r="D58" s="142"/>
      <c r="E58" s="142"/>
      <c r="F58" s="142"/>
      <c r="G58" s="142"/>
      <c r="H58" s="142"/>
      <c r="I58" s="142"/>
    </row>
    <row r="59" spans="1:9" ht="44.25" customHeight="1" x14ac:dyDescent="0.2">
      <c r="A59" s="143" t="s">
        <v>97</v>
      </c>
      <c r="B59" s="143"/>
      <c r="C59" s="143"/>
      <c r="D59" s="143"/>
      <c r="E59" s="143"/>
      <c r="F59" s="143"/>
      <c r="G59" s="143"/>
      <c r="H59" s="143"/>
      <c r="I59" s="143"/>
    </row>
  </sheetData>
  <sheetProtection algorithmName="SHA-512" hashValue="AgPiRtnnqQYSoDJbrN60KVG9SPKTUPqLgNB78Qx0vcVSTEaU4tYXwcvLO1jf7Wvdnmqr/OUos4XU/aFldLQctA==" saltValue="vFfQkaRwQgkPk15T/VS5OQ==" spinCount="100000" sheet="1" objects="1" scenarios="1" selectLockedCells="1" selectUnlockedCells="1"/>
  <mergeCells count="3">
    <mergeCell ref="A58:I58"/>
    <mergeCell ref="A59:I59"/>
    <mergeCell ref="A1:I6"/>
  </mergeCells>
  <printOptions horizontalCentered="1"/>
  <pageMargins left="0.7" right="0.7" top="0.5" bottom="0.5" header="0.3" footer="0.3"/>
  <pageSetup paperSize="9" scale="21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3"/>
  <sheetViews>
    <sheetView view="pageBreakPreview" zoomScale="85" zoomScaleNormal="85" zoomScaleSheetLayoutView="85" workbookViewId="0">
      <pane ySplit="7" topLeftCell="A8" activePane="bottomLeft" state="frozen"/>
      <selection pane="bottomLeft" activeCell="E15" sqref="E15"/>
    </sheetView>
  </sheetViews>
  <sheetFormatPr defaultColWidth="9.6640625" defaultRowHeight="15.75" x14ac:dyDescent="0.2"/>
  <cols>
    <col min="1" max="1" width="7.109375" style="23" customWidth="1"/>
    <col min="2" max="2" width="8.109375" style="23" customWidth="1"/>
    <col min="3" max="3" width="38.33203125" style="67" customWidth="1"/>
    <col min="4" max="5" width="8.109375" style="68" customWidth="1"/>
    <col min="6" max="6" width="13.21875" style="68" customWidth="1"/>
    <col min="7" max="7" width="6.5546875" style="23" customWidth="1"/>
    <col min="8" max="8" width="10.5546875" style="67" customWidth="1"/>
    <col min="9" max="9" width="11.109375" style="66" customWidth="1"/>
    <col min="10" max="10" width="36.109375" style="64" bestFit="1" customWidth="1"/>
    <col min="11" max="16384" width="9.6640625" style="64"/>
  </cols>
  <sheetData>
    <row r="1" spans="1:16" x14ac:dyDescent="0.2">
      <c r="C1" s="60"/>
      <c r="D1" s="61"/>
      <c r="E1" s="61"/>
      <c r="F1" s="61"/>
      <c r="G1" s="61"/>
      <c r="H1" s="62"/>
      <c r="I1" s="63"/>
    </row>
    <row r="2" spans="1:16" x14ac:dyDescent="0.2">
      <c r="C2" s="65" t="s">
        <v>6</v>
      </c>
      <c r="D2" s="60" t="s">
        <v>10</v>
      </c>
      <c r="E2" s="61"/>
      <c r="F2" s="61"/>
      <c r="G2" s="61"/>
      <c r="H2" s="64"/>
      <c r="I2" s="63"/>
    </row>
    <row r="3" spans="1:16" x14ac:dyDescent="0.2">
      <c r="C3" s="65" t="s">
        <v>7</v>
      </c>
      <c r="D3" s="60" t="s">
        <v>71</v>
      </c>
      <c r="E3" s="61"/>
      <c r="F3" s="61"/>
      <c r="G3" s="61"/>
      <c r="H3" s="64"/>
      <c r="I3" s="63"/>
    </row>
    <row r="4" spans="1:16" x14ac:dyDescent="0.2">
      <c r="C4" s="64"/>
      <c r="D4" s="60" t="s">
        <v>72</v>
      </c>
      <c r="E4" s="61"/>
      <c r="F4" s="61"/>
      <c r="G4" s="61"/>
      <c r="H4" s="64"/>
      <c r="I4" s="63"/>
    </row>
    <row r="5" spans="1:16" x14ac:dyDescent="0.2">
      <c r="C5" s="61"/>
      <c r="D5" s="61"/>
      <c r="E5" s="61"/>
      <c r="F5" s="61"/>
      <c r="H5" s="60"/>
    </row>
    <row r="6" spans="1:16" x14ac:dyDescent="0.2">
      <c r="G6" s="64"/>
      <c r="H6" s="69" t="s">
        <v>1</v>
      </c>
      <c r="I6" s="70">
        <f ca="1">TODAY()</f>
        <v>45121</v>
      </c>
    </row>
    <row r="7" spans="1:16" s="74" customFormat="1" x14ac:dyDescent="0.2">
      <c r="A7" s="24" t="s">
        <v>5</v>
      </c>
      <c r="B7" s="118" t="s">
        <v>94</v>
      </c>
      <c r="C7" s="71" t="s">
        <v>2</v>
      </c>
      <c r="D7" s="71" t="s">
        <v>8</v>
      </c>
      <c r="E7" s="71" t="s">
        <v>69</v>
      </c>
      <c r="F7" s="71" t="s">
        <v>70</v>
      </c>
      <c r="G7" s="72" t="s">
        <v>0</v>
      </c>
      <c r="H7" s="71" t="s">
        <v>3</v>
      </c>
      <c r="I7" s="73" t="s">
        <v>4</v>
      </c>
      <c r="L7" s="146" t="s">
        <v>80</v>
      </c>
      <c r="M7" s="146"/>
    </row>
    <row r="8" spans="1:16" x14ac:dyDescent="0.2">
      <c r="A8" s="58"/>
      <c r="B8" s="119"/>
      <c r="C8" s="75" t="s">
        <v>39</v>
      </c>
      <c r="D8" s="76"/>
      <c r="E8" s="76"/>
      <c r="F8" s="76"/>
      <c r="G8" s="77"/>
      <c r="H8" s="78"/>
      <c r="I8" s="79"/>
      <c r="L8" s="80" t="s">
        <v>78</v>
      </c>
      <c r="M8" s="80" t="s">
        <v>79</v>
      </c>
    </row>
    <row r="9" spans="1:16" ht="31.5" x14ac:dyDescent="0.2">
      <c r="A9" s="59">
        <v>1</v>
      </c>
      <c r="B9" s="84" t="s">
        <v>77</v>
      </c>
      <c r="C9" s="81" t="s">
        <v>82</v>
      </c>
      <c r="D9" s="82">
        <v>11635</v>
      </c>
      <c r="E9" s="83">
        <v>0.1</v>
      </c>
      <c r="F9" s="82">
        <f>D9*(1+E9)</f>
        <v>12798.500000000002</v>
      </c>
      <c r="G9" s="84" t="s">
        <v>21</v>
      </c>
      <c r="H9" s="85">
        <v>4</v>
      </c>
      <c r="I9" s="86">
        <f>H9*F9</f>
        <v>51194.000000000007</v>
      </c>
      <c r="J9" s="64" t="s">
        <v>52</v>
      </c>
      <c r="K9" s="23" t="s">
        <v>13</v>
      </c>
      <c r="L9" s="80">
        <f>2520-80</f>
        <v>2440</v>
      </c>
      <c r="M9" s="80">
        <v>280</v>
      </c>
      <c r="N9" s="64">
        <f>(2440*2+290*2+2345+3830)</f>
        <v>11635</v>
      </c>
    </row>
    <row r="10" spans="1:16" ht="31.5" x14ac:dyDescent="0.2">
      <c r="A10" s="28">
        <v>2</v>
      </c>
      <c r="B10" s="23" t="s">
        <v>77</v>
      </c>
      <c r="C10" s="87" t="s">
        <v>83</v>
      </c>
      <c r="D10" s="88">
        <v>1185</v>
      </c>
      <c r="E10" s="89">
        <v>0.1</v>
      </c>
      <c r="F10" s="88">
        <f>D10*(1+E10)</f>
        <v>1303.5</v>
      </c>
      <c r="G10" s="23" t="s">
        <v>21</v>
      </c>
      <c r="H10" s="90">
        <v>4.5</v>
      </c>
      <c r="I10" s="91">
        <f>H10*F10</f>
        <v>5865.75</v>
      </c>
      <c r="J10" s="64" t="s">
        <v>53</v>
      </c>
      <c r="K10" s="23" t="s">
        <v>14</v>
      </c>
      <c r="L10" s="80">
        <f>210-80</f>
        <v>130</v>
      </c>
      <c r="M10" s="80">
        <v>80</v>
      </c>
      <c r="N10" s="64">
        <f>(280*2+325+300)</f>
        <v>1185</v>
      </c>
    </row>
    <row r="11" spans="1:16" ht="31.5" x14ac:dyDescent="0.2">
      <c r="A11" s="28">
        <v>3</v>
      </c>
      <c r="B11" s="23" t="s">
        <v>77</v>
      </c>
      <c r="C11" s="87" t="s">
        <v>84</v>
      </c>
      <c r="D11" s="88">
        <v>260</v>
      </c>
      <c r="E11" s="89">
        <v>0.1</v>
      </c>
      <c r="F11" s="88">
        <f t="shared" ref="F11:F19" si="0">D11*(1+E11)</f>
        <v>286</v>
      </c>
      <c r="G11" s="23" t="s">
        <v>21</v>
      </c>
      <c r="H11" s="90">
        <v>4.5</v>
      </c>
      <c r="I11" s="91">
        <f>H11*F11</f>
        <v>1287</v>
      </c>
      <c r="J11" s="64" t="s">
        <v>14</v>
      </c>
      <c r="K11" s="23" t="s">
        <v>41</v>
      </c>
      <c r="L11" s="80"/>
      <c r="M11" s="80"/>
      <c r="N11" s="64">
        <f>130*2</f>
        <v>260</v>
      </c>
    </row>
    <row r="12" spans="1:16" ht="31.5" x14ac:dyDescent="0.2">
      <c r="A12" s="28">
        <v>4</v>
      </c>
      <c r="B12" s="23" t="s">
        <v>77</v>
      </c>
      <c r="C12" s="92" t="s">
        <v>85</v>
      </c>
      <c r="D12" s="88">
        <v>160</v>
      </c>
      <c r="E12" s="89">
        <v>0.1</v>
      </c>
      <c r="F12" s="88">
        <f t="shared" si="0"/>
        <v>176</v>
      </c>
      <c r="G12" s="23" t="s">
        <v>21</v>
      </c>
      <c r="H12" s="90">
        <v>5</v>
      </c>
      <c r="I12" s="91">
        <f t="shared" ref="I12:I16" si="1">H12*F12</f>
        <v>880</v>
      </c>
      <c r="J12" s="64" t="s">
        <v>14</v>
      </c>
      <c r="K12" s="23" t="s">
        <v>15</v>
      </c>
      <c r="L12" s="80">
        <v>290</v>
      </c>
      <c r="M12" s="80"/>
      <c r="N12" s="64">
        <f>80*2</f>
        <v>160</v>
      </c>
    </row>
    <row r="13" spans="1:16" s="95" customFormat="1" ht="31.5" x14ac:dyDescent="0.2">
      <c r="A13" s="28">
        <v>5</v>
      </c>
      <c r="B13" s="23" t="s">
        <v>77</v>
      </c>
      <c r="C13" s="87" t="s">
        <v>86</v>
      </c>
      <c r="D13" s="88">
        <v>300</v>
      </c>
      <c r="E13" s="89">
        <v>0.1</v>
      </c>
      <c r="F13" s="88">
        <f t="shared" si="0"/>
        <v>330</v>
      </c>
      <c r="G13" s="23" t="s">
        <v>21</v>
      </c>
      <c r="H13" s="90">
        <v>4</v>
      </c>
      <c r="I13" s="91">
        <f>H13*F13</f>
        <v>1320</v>
      </c>
      <c r="J13" s="93" t="s">
        <v>18</v>
      </c>
      <c r="K13" s="23" t="s">
        <v>16</v>
      </c>
      <c r="L13" s="80">
        <v>1200</v>
      </c>
      <c r="M13" s="94"/>
      <c r="N13" s="95">
        <f>150*2</f>
        <v>300</v>
      </c>
    </row>
    <row r="14" spans="1:16" s="95" customFormat="1" x14ac:dyDescent="0.2">
      <c r="A14" s="28">
        <v>6</v>
      </c>
      <c r="B14" s="23" t="s">
        <v>74</v>
      </c>
      <c r="C14" s="87" t="s">
        <v>31</v>
      </c>
      <c r="D14" s="88">
        <v>14740</v>
      </c>
      <c r="E14" s="89">
        <v>0.1</v>
      </c>
      <c r="F14" s="88">
        <f t="shared" si="0"/>
        <v>16214.000000000002</v>
      </c>
      <c r="G14" s="23" t="s">
        <v>21</v>
      </c>
      <c r="H14" s="90">
        <v>4</v>
      </c>
      <c r="I14" s="91">
        <f>H14*F14</f>
        <v>64856.000000000007</v>
      </c>
      <c r="J14" s="64" t="s">
        <v>32</v>
      </c>
      <c r="K14" s="23" t="s">
        <v>17</v>
      </c>
      <c r="L14" s="80">
        <f>2670-325</f>
        <v>2345</v>
      </c>
      <c r="M14" s="80">
        <v>325</v>
      </c>
      <c r="N14" s="95">
        <f>SUM(N9:N13)+L13</f>
        <v>14740</v>
      </c>
      <c r="O14" s="95">
        <f>SUM(L9:M10)*2+L13+SUM(L14:M14)+L15*2+SUM(L17:M17)+L12*2</f>
        <v>14740</v>
      </c>
      <c r="P14" s="95">
        <f>N14-O14</f>
        <v>0</v>
      </c>
    </row>
    <row r="15" spans="1:16" s="95" customFormat="1" x14ac:dyDescent="0.2">
      <c r="A15" s="28">
        <v>7</v>
      </c>
      <c r="B15" s="23" t="s">
        <v>89</v>
      </c>
      <c r="C15" s="87" t="s">
        <v>75</v>
      </c>
      <c r="D15" s="88">
        <v>5750</v>
      </c>
      <c r="E15" s="89">
        <v>0.1</v>
      </c>
      <c r="F15" s="88">
        <f t="shared" si="0"/>
        <v>6325.0000000000009</v>
      </c>
      <c r="G15" s="23" t="s">
        <v>21</v>
      </c>
      <c r="H15" s="90">
        <v>2.5</v>
      </c>
      <c r="I15" s="91">
        <f>H15*F15</f>
        <v>15812.500000000002</v>
      </c>
      <c r="J15" s="64" t="s">
        <v>34</v>
      </c>
      <c r="K15" s="23" t="s">
        <v>18</v>
      </c>
      <c r="L15" s="80">
        <v>150</v>
      </c>
      <c r="M15" s="94"/>
      <c r="N15" s="95">
        <f>SUM(L9:M10)+SUM(L14:M15)</f>
        <v>5750</v>
      </c>
    </row>
    <row r="16" spans="1:16" s="95" customFormat="1" x14ac:dyDescent="0.2">
      <c r="A16" s="28">
        <v>8</v>
      </c>
      <c r="B16" s="23" t="s">
        <v>90</v>
      </c>
      <c r="C16" s="87" t="s">
        <v>76</v>
      </c>
      <c r="D16" s="96">
        <v>290</v>
      </c>
      <c r="E16" s="89">
        <v>0.1</v>
      </c>
      <c r="F16" s="88">
        <f t="shared" si="0"/>
        <v>319</v>
      </c>
      <c r="G16" s="23" t="s">
        <v>21</v>
      </c>
      <c r="H16" s="90">
        <v>2</v>
      </c>
      <c r="I16" s="91">
        <f t="shared" si="1"/>
        <v>638</v>
      </c>
      <c r="J16" s="64" t="s">
        <v>15</v>
      </c>
      <c r="K16" s="23" t="s">
        <v>19</v>
      </c>
      <c r="L16" s="80">
        <v>20</v>
      </c>
      <c r="M16" s="94"/>
    </row>
    <row r="17" spans="1:14" s="95" customFormat="1" x14ac:dyDescent="0.2">
      <c r="A17" s="28">
        <v>8</v>
      </c>
      <c r="B17" s="23" t="s">
        <v>91</v>
      </c>
      <c r="C17" s="87" t="s">
        <v>92</v>
      </c>
      <c r="D17" s="96">
        <v>4130</v>
      </c>
      <c r="E17" s="89">
        <v>0.1</v>
      </c>
      <c r="F17" s="88">
        <f t="shared" si="0"/>
        <v>4543</v>
      </c>
      <c r="G17" s="23" t="s">
        <v>21</v>
      </c>
      <c r="H17" s="90">
        <v>3</v>
      </c>
      <c r="I17" s="91">
        <f>H17*F17</f>
        <v>13629</v>
      </c>
      <c r="J17" s="64"/>
      <c r="K17" s="23" t="s">
        <v>20</v>
      </c>
      <c r="L17" s="80">
        <v>3830</v>
      </c>
      <c r="M17" s="94">
        <v>300</v>
      </c>
      <c r="N17" s="95">
        <f>SUM(L17:M17)</f>
        <v>4130</v>
      </c>
    </row>
    <row r="18" spans="1:14" s="95" customFormat="1" x14ac:dyDescent="0.2">
      <c r="A18" s="28">
        <v>9</v>
      </c>
      <c r="B18" s="23" t="s">
        <v>93</v>
      </c>
      <c r="C18" s="97" t="s">
        <v>87</v>
      </c>
      <c r="D18" s="96">
        <v>5600</v>
      </c>
      <c r="E18" s="89">
        <v>0.05</v>
      </c>
      <c r="F18" s="88">
        <f t="shared" si="0"/>
        <v>5880</v>
      </c>
      <c r="G18" s="23" t="s">
        <v>21</v>
      </c>
      <c r="H18" s="90">
        <v>2</v>
      </c>
      <c r="I18" s="91">
        <f>H18*F18</f>
        <v>11760</v>
      </c>
      <c r="J18" s="64" t="s">
        <v>37</v>
      </c>
      <c r="N18" s="95">
        <f>SUM(L9:M10)+SUM(L14:M14)</f>
        <v>5600</v>
      </c>
    </row>
    <row r="19" spans="1:14" s="95" customFormat="1" x14ac:dyDescent="0.2">
      <c r="A19" s="56">
        <v>10</v>
      </c>
      <c r="B19" s="102" t="s">
        <v>93</v>
      </c>
      <c r="C19" s="98" t="s">
        <v>88</v>
      </c>
      <c r="D19" s="99">
        <v>150</v>
      </c>
      <c r="E19" s="100">
        <v>0.1</v>
      </c>
      <c r="F19" s="101">
        <f t="shared" si="0"/>
        <v>165</v>
      </c>
      <c r="G19" s="102" t="s">
        <v>21</v>
      </c>
      <c r="H19" s="103">
        <v>2.2000000000000002</v>
      </c>
      <c r="I19" s="104">
        <f>H19*F19</f>
        <v>363.00000000000006</v>
      </c>
      <c r="J19" s="64" t="s">
        <v>18</v>
      </c>
      <c r="K19" s="23"/>
      <c r="L19" s="64"/>
      <c r="N19" s="95">
        <v>150</v>
      </c>
    </row>
    <row r="20" spans="1:14" ht="16.5" thickBot="1" x14ac:dyDescent="0.25">
      <c r="C20" s="43"/>
      <c r="D20" s="96"/>
      <c r="E20" s="96"/>
      <c r="F20" s="96"/>
      <c r="H20" s="90"/>
      <c r="I20" s="105"/>
    </row>
    <row r="21" spans="1:14" ht="16.5" thickBot="1" x14ac:dyDescent="0.25">
      <c r="A21" s="55" t="s">
        <v>67</v>
      </c>
      <c r="B21" s="120"/>
      <c r="C21" s="106"/>
      <c r="D21" s="107"/>
      <c r="E21" s="107"/>
      <c r="F21" s="107"/>
      <c r="G21" s="108"/>
      <c r="H21" s="109"/>
      <c r="I21" s="110">
        <f>SUM(I9:I19)</f>
        <v>167605.25000000003</v>
      </c>
    </row>
    <row r="22" spans="1:14" ht="16.5" thickBot="1" x14ac:dyDescent="0.25">
      <c r="A22" s="55" t="s">
        <v>73</v>
      </c>
      <c r="B22" s="120"/>
      <c r="C22" s="106"/>
      <c r="D22" s="107"/>
      <c r="E22" s="107"/>
      <c r="F22" s="107"/>
      <c r="G22" s="108"/>
      <c r="H22" s="109"/>
      <c r="I22" s="111">
        <f>(3/100)*I21</f>
        <v>5028.1575000000003</v>
      </c>
    </row>
    <row r="23" spans="1:14" ht="16.5" thickBot="1" x14ac:dyDescent="0.25">
      <c r="A23" s="55" t="s">
        <v>68</v>
      </c>
      <c r="B23" s="120"/>
      <c r="C23" s="106"/>
      <c r="D23" s="107"/>
      <c r="E23" s="107"/>
      <c r="F23" s="107"/>
      <c r="G23" s="108"/>
      <c r="H23" s="109"/>
      <c r="I23" s="110">
        <f>SUM(I21:I22)</f>
        <v>172633.40750000003</v>
      </c>
    </row>
    <row r="24" spans="1:14" x14ac:dyDescent="0.2">
      <c r="A24" s="57"/>
      <c r="B24" s="57"/>
      <c r="C24" s="64"/>
      <c r="D24" s="112"/>
      <c r="E24" s="112"/>
      <c r="F24" s="112"/>
      <c r="H24" s="113"/>
      <c r="I24" s="114"/>
    </row>
    <row r="25" spans="1:14" x14ac:dyDescent="0.2">
      <c r="C25" s="115" t="s">
        <v>61</v>
      </c>
    </row>
    <row r="26" spans="1:14" x14ac:dyDescent="0.2">
      <c r="B26" s="23">
        <v>1</v>
      </c>
      <c r="C26" s="67" t="s">
        <v>62</v>
      </c>
      <c r="J26" s="116"/>
    </row>
    <row r="27" spans="1:14" x14ac:dyDescent="0.2">
      <c r="B27" s="23">
        <v>2</v>
      </c>
      <c r="C27" s="67" t="s">
        <v>63</v>
      </c>
    </row>
    <row r="28" spans="1:14" x14ac:dyDescent="0.2">
      <c r="B28" s="23">
        <v>3</v>
      </c>
      <c r="C28" s="67" t="s">
        <v>64</v>
      </c>
    </row>
    <row r="29" spans="1:14" x14ac:dyDescent="0.2">
      <c r="B29" s="23">
        <v>4</v>
      </c>
      <c r="C29" s="45" t="s">
        <v>65</v>
      </c>
    </row>
    <row r="30" spans="1:14" x14ac:dyDescent="0.2">
      <c r="B30" s="23">
        <v>5</v>
      </c>
      <c r="C30" s="45" t="s">
        <v>66</v>
      </c>
    </row>
    <row r="31" spans="1:14" ht="31.5" x14ac:dyDescent="0.2">
      <c r="B31" s="23">
        <v>6</v>
      </c>
      <c r="C31" s="45" t="s">
        <v>81</v>
      </c>
    </row>
    <row r="32" spans="1:14" x14ac:dyDescent="0.2">
      <c r="C32" s="117"/>
    </row>
    <row r="33" spans="3:3" x14ac:dyDescent="0.2">
      <c r="C33" s="117"/>
    </row>
  </sheetData>
  <mergeCells count="1">
    <mergeCell ref="L7:M7"/>
  </mergeCells>
  <printOptions horizontalCentered="1"/>
  <pageMargins left="0.7" right="0.7" top="0.5" bottom="0.5" header="0.3" footer="0.3"/>
  <pageSetup paperSize="9" scale="1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1"/>
  <sheetViews>
    <sheetView view="pageBreakPreview" zoomScale="85" zoomScaleNormal="85" zoomScaleSheetLayoutView="85" workbookViewId="0">
      <pane ySplit="7" topLeftCell="A14" activePane="bottomLeft" state="frozen"/>
      <selection pane="bottomLeft" activeCell="H19" sqref="H19:J28"/>
    </sheetView>
  </sheetViews>
  <sheetFormatPr defaultColWidth="9.6640625" defaultRowHeight="15.75" x14ac:dyDescent="0.2"/>
  <cols>
    <col min="1" max="1" width="10" style="23" customWidth="1"/>
    <col min="2" max="2" width="27.88671875" style="8" customWidth="1"/>
    <col min="3" max="3" width="10.5546875" style="8" customWidth="1"/>
    <col min="4" max="4" width="8.109375" style="20" customWidth="1"/>
    <col min="5" max="5" width="6.5546875" style="6" customWidth="1"/>
    <col min="6" max="6" width="11.109375" style="7" customWidth="1"/>
    <col min="7" max="7" width="34.109375" style="5" customWidth="1"/>
    <col min="8" max="8" width="12" style="5" customWidth="1"/>
    <col min="9" max="10" width="9.6640625" style="5"/>
    <col min="11" max="11" width="10.6640625" style="5" customWidth="1"/>
    <col min="12" max="12" width="11.77734375" style="5" customWidth="1"/>
    <col min="13" max="13" width="10.6640625" style="5" customWidth="1"/>
    <col min="14" max="16384" width="9.6640625" style="5"/>
  </cols>
  <sheetData>
    <row r="1" spans="1:9" x14ac:dyDescent="0.2">
      <c r="B1" s="1"/>
      <c r="C1" s="2"/>
      <c r="D1" s="3"/>
      <c r="E1" s="3"/>
      <c r="F1" s="4"/>
    </row>
    <row r="2" spans="1:9" x14ac:dyDescent="0.2">
      <c r="B2" s="17" t="s">
        <v>6</v>
      </c>
      <c r="C2" s="1" t="s">
        <v>10</v>
      </c>
      <c r="D2" s="3"/>
      <c r="E2" s="3"/>
      <c r="F2" s="4"/>
    </row>
    <row r="3" spans="1:9" x14ac:dyDescent="0.2">
      <c r="B3" s="17" t="s">
        <v>7</v>
      </c>
      <c r="C3" s="1" t="s">
        <v>11</v>
      </c>
      <c r="D3" s="3"/>
      <c r="E3" s="3"/>
      <c r="F3" s="4"/>
    </row>
    <row r="4" spans="1:9" x14ac:dyDescent="0.2">
      <c r="B4" s="5"/>
      <c r="C4" s="1" t="s">
        <v>12</v>
      </c>
      <c r="D4" s="3"/>
      <c r="E4" s="3"/>
      <c r="F4" s="4"/>
    </row>
    <row r="5" spans="1:9" x14ac:dyDescent="0.2">
      <c r="B5" s="3"/>
      <c r="C5" s="1"/>
      <c r="D5" s="3"/>
    </row>
    <row r="6" spans="1:9" x14ac:dyDescent="0.2">
      <c r="E6" s="9" t="s">
        <v>1</v>
      </c>
      <c r="F6" s="10">
        <f ca="1">TODAY()</f>
        <v>45121</v>
      </c>
    </row>
    <row r="7" spans="1:9" s="11" customFormat="1" x14ac:dyDescent="0.2">
      <c r="A7" s="24" t="s">
        <v>5</v>
      </c>
      <c r="B7" s="25" t="s">
        <v>2</v>
      </c>
      <c r="C7" s="25" t="s">
        <v>3</v>
      </c>
      <c r="D7" s="25" t="s">
        <v>8</v>
      </c>
      <c r="E7" s="26" t="s">
        <v>0</v>
      </c>
      <c r="F7" s="27" t="s">
        <v>4</v>
      </c>
    </row>
    <row r="8" spans="1:9" x14ac:dyDescent="0.2">
      <c r="A8" s="35"/>
      <c r="B8" s="39" t="s">
        <v>39</v>
      </c>
      <c r="C8" s="14"/>
      <c r="D8" s="21"/>
      <c r="E8" s="15"/>
      <c r="F8" s="16"/>
      <c r="H8" s="30"/>
    </row>
    <row r="9" spans="1:9" ht="31.5" x14ac:dyDescent="0.2">
      <c r="A9" s="28">
        <v>1</v>
      </c>
      <c r="B9" s="49" t="s">
        <v>51</v>
      </c>
      <c r="C9" s="38"/>
      <c r="D9" s="40">
        <f>((2358+277+2077)-644)+3830</f>
        <v>7898</v>
      </c>
      <c r="E9" s="6" t="s">
        <v>21</v>
      </c>
      <c r="F9" s="18">
        <f>C9*D9</f>
        <v>0</v>
      </c>
      <c r="G9" s="5" t="s">
        <v>52</v>
      </c>
    </row>
    <row r="10" spans="1:9" ht="31.5" x14ac:dyDescent="0.2">
      <c r="A10" s="28">
        <v>2</v>
      </c>
      <c r="B10" s="31" t="s">
        <v>54</v>
      </c>
      <c r="C10" s="38"/>
      <c r="D10" s="40">
        <f>644+292</f>
        <v>936</v>
      </c>
      <c r="E10" s="6" t="s">
        <v>21</v>
      </c>
      <c r="F10" s="18">
        <f t="shared" ref="F10:F18" si="0">C10*D10</f>
        <v>0</v>
      </c>
      <c r="G10" s="5" t="s">
        <v>53</v>
      </c>
      <c r="I10" s="5" t="s">
        <v>59</v>
      </c>
    </row>
    <row r="11" spans="1:9" ht="31.5" x14ac:dyDescent="0.2">
      <c r="A11" s="28">
        <v>3</v>
      </c>
      <c r="B11" s="31" t="s">
        <v>29</v>
      </c>
      <c r="C11" s="19"/>
      <c r="D11" s="40">
        <f>206-78</f>
        <v>128</v>
      </c>
      <c r="E11" s="6" t="s">
        <v>21</v>
      </c>
      <c r="F11" s="18">
        <f t="shared" si="0"/>
        <v>0</v>
      </c>
      <c r="G11" s="5" t="s">
        <v>14</v>
      </c>
      <c r="I11" s="5" t="s">
        <v>60</v>
      </c>
    </row>
    <row r="12" spans="1:9" ht="47.25" x14ac:dyDescent="0.2">
      <c r="A12" s="28">
        <v>4</v>
      </c>
      <c r="B12" s="48" t="s">
        <v>55</v>
      </c>
      <c r="C12" s="19"/>
      <c r="D12" s="40">
        <v>78</v>
      </c>
      <c r="E12" s="6" t="s">
        <v>21</v>
      </c>
      <c r="F12" s="18">
        <f t="shared" si="0"/>
        <v>0</v>
      </c>
      <c r="G12" s="5" t="s">
        <v>14</v>
      </c>
      <c r="H12" s="34"/>
    </row>
    <row r="13" spans="1:9" s="34" customFormat="1" ht="31.5" x14ac:dyDescent="0.2">
      <c r="A13" s="28">
        <v>5</v>
      </c>
      <c r="B13" s="31" t="s">
        <v>30</v>
      </c>
      <c r="C13" s="33"/>
      <c r="D13" s="40">
        <v>148</v>
      </c>
      <c r="E13" s="6" t="s">
        <v>21</v>
      </c>
      <c r="F13" s="18">
        <f t="shared" si="0"/>
        <v>0</v>
      </c>
      <c r="G13" s="50" t="s">
        <v>18</v>
      </c>
    </row>
    <row r="14" spans="1:9" s="34" customFormat="1" ht="31.5" x14ac:dyDescent="0.2">
      <c r="A14" s="28">
        <v>6</v>
      </c>
      <c r="B14" s="31" t="s">
        <v>31</v>
      </c>
      <c r="C14" s="33"/>
      <c r="D14" s="40">
        <f>2538+206+277+1343+2077+148</f>
        <v>6589</v>
      </c>
      <c r="E14" s="6" t="s">
        <v>21</v>
      </c>
      <c r="F14" s="18">
        <f t="shared" si="0"/>
        <v>0</v>
      </c>
      <c r="G14" s="5" t="s">
        <v>32</v>
      </c>
    </row>
    <row r="15" spans="1:9" s="34" customFormat="1" x14ac:dyDescent="0.2">
      <c r="A15" s="28">
        <v>7</v>
      </c>
      <c r="B15" s="31" t="s">
        <v>33</v>
      </c>
      <c r="C15" s="33"/>
      <c r="D15" s="40">
        <v>4968</v>
      </c>
      <c r="E15" s="6" t="s">
        <v>21</v>
      </c>
      <c r="F15" s="18">
        <f t="shared" si="0"/>
        <v>0</v>
      </c>
      <c r="G15" s="5" t="s">
        <v>34</v>
      </c>
    </row>
    <row r="16" spans="1:9" s="34" customFormat="1" x14ac:dyDescent="0.2">
      <c r="A16" s="28">
        <v>8</v>
      </c>
      <c r="B16" s="31" t="s">
        <v>35</v>
      </c>
      <c r="C16" s="33"/>
      <c r="D16" s="29">
        <v>277</v>
      </c>
      <c r="E16" s="6" t="s">
        <v>21</v>
      </c>
      <c r="F16" s="18">
        <f t="shared" si="0"/>
        <v>0</v>
      </c>
      <c r="G16" s="5" t="s">
        <v>15</v>
      </c>
    </row>
    <row r="17" spans="1:11" s="34" customFormat="1" x14ac:dyDescent="0.2">
      <c r="A17" s="23">
        <v>9</v>
      </c>
      <c r="B17" s="47" t="s">
        <v>36</v>
      </c>
      <c r="C17" s="33"/>
      <c r="D17" s="29">
        <f>2538+206+2077</f>
        <v>4821</v>
      </c>
      <c r="E17" s="6" t="s">
        <v>21</v>
      </c>
      <c r="F17" s="18">
        <f t="shared" si="0"/>
        <v>0</v>
      </c>
      <c r="G17" s="5" t="s">
        <v>37</v>
      </c>
    </row>
    <row r="18" spans="1:11" s="34" customFormat="1" x14ac:dyDescent="0.2">
      <c r="A18" s="23">
        <v>10</v>
      </c>
      <c r="B18" s="47" t="s">
        <v>38</v>
      </c>
      <c r="C18" s="33"/>
      <c r="D18" s="29">
        <v>148</v>
      </c>
      <c r="E18" s="6" t="s">
        <v>21</v>
      </c>
      <c r="F18" s="18">
        <f t="shared" si="0"/>
        <v>0</v>
      </c>
      <c r="G18" s="5" t="s">
        <v>18</v>
      </c>
      <c r="H18" s="54" t="s">
        <v>42</v>
      </c>
    </row>
    <row r="19" spans="1:11" ht="16.5" thickBot="1" x14ac:dyDescent="0.25">
      <c r="B19" s="31"/>
      <c r="C19" s="19"/>
      <c r="D19" s="29"/>
      <c r="F19" s="18"/>
      <c r="H19" s="6" t="s">
        <v>13</v>
      </c>
      <c r="I19" s="30">
        <v>2538</v>
      </c>
      <c r="J19" s="5">
        <v>2520</v>
      </c>
    </row>
    <row r="20" spans="1:11" ht="16.5" thickBot="1" x14ac:dyDescent="0.25">
      <c r="A20" s="36" t="s">
        <v>9</v>
      </c>
      <c r="B20" s="13"/>
      <c r="C20" s="12"/>
      <c r="D20" s="22"/>
      <c r="E20" s="32"/>
      <c r="F20" s="37">
        <f>SUM(F9:F18)</f>
        <v>0</v>
      </c>
      <c r="H20" s="6" t="s">
        <v>14</v>
      </c>
      <c r="I20" s="30">
        <v>205</v>
      </c>
      <c r="J20" s="5">
        <v>206</v>
      </c>
    </row>
    <row r="21" spans="1:11" x14ac:dyDescent="0.2">
      <c r="B21" s="41" t="s">
        <v>61</v>
      </c>
      <c r="H21" s="6" t="s">
        <v>41</v>
      </c>
      <c r="I21" s="30" t="s">
        <v>43</v>
      </c>
    </row>
    <row r="22" spans="1:11" x14ac:dyDescent="0.2">
      <c r="A22" s="23">
        <v>1</v>
      </c>
      <c r="B22" s="8" t="s">
        <v>62</v>
      </c>
      <c r="G22" s="46"/>
      <c r="H22" s="6" t="s">
        <v>15</v>
      </c>
      <c r="I22" s="30">
        <v>277</v>
      </c>
      <c r="J22" s="5">
        <v>290</v>
      </c>
    </row>
    <row r="23" spans="1:11" x14ac:dyDescent="0.2">
      <c r="A23" s="23">
        <v>2</v>
      </c>
      <c r="B23" s="8" t="s">
        <v>63</v>
      </c>
      <c r="H23" s="6" t="s">
        <v>16</v>
      </c>
      <c r="I23" s="30">
        <v>1342</v>
      </c>
      <c r="J23" s="5">
        <v>1200</v>
      </c>
    </row>
    <row r="24" spans="1:11" x14ac:dyDescent="0.2">
      <c r="A24" s="23">
        <v>3</v>
      </c>
      <c r="B24" s="8" t="s">
        <v>64</v>
      </c>
      <c r="H24" s="6" t="s">
        <v>17</v>
      </c>
      <c r="I24" s="30">
        <v>2077</v>
      </c>
      <c r="J24" s="5">
        <v>2670</v>
      </c>
    </row>
    <row r="25" spans="1:11" x14ac:dyDescent="0.2">
      <c r="A25" s="23">
        <v>4</v>
      </c>
      <c r="B25" s="42" t="s">
        <v>65</v>
      </c>
      <c r="H25" s="6" t="s">
        <v>18</v>
      </c>
      <c r="I25" s="30">
        <v>148</v>
      </c>
      <c r="J25" s="5">
        <v>150</v>
      </c>
    </row>
    <row r="26" spans="1:11" x14ac:dyDescent="0.2">
      <c r="A26" s="23">
        <v>5</v>
      </c>
      <c r="B26" s="42" t="s">
        <v>66</v>
      </c>
      <c r="H26" s="6" t="s">
        <v>19</v>
      </c>
      <c r="I26" s="30">
        <v>22</v>
      </c>
      <c r="J26" s="5">
        <v>20</v>
      </c>
      <c r="K26" s="5" t="s">
        <v>45</v>
      </c>
    </row>
    <row r="27" spans="1:11" x14ac:dyDescent="0.2">
      <c r="A27" s="23">
        <v>6</v>
      </c>
      <c r="B27" s="51"/>
      <c r="H27" s="6" t="s">
        <v>20</v>
      </c>
      <c r="I27" s="30">
        <v>3830</v>
      </c>
    </row>
    <row r="28" spans="1:11" x14ac:dyDescent="0.2">
      <c r="B28" s="51"/>
      <c r="H28" s="6" t="s">
        <v>58</v>
      </c>
      <c r="I28" s="30">
        <v>292</v>
      </c>
    </row>
    <row r="29" spans="1:11" x14ac:dyDescent="0.2">
      <c r="B29" s="51"/>
      <c r="H29" s="6"/>
      <c r="I29" s="30"/>
    </row>
    <row r="30" spans="1:11" x14ac:dyDescent="0.2">
      <c r="B30" s="51"/>
      <c r="H30" s="6"/>
      <c r="I30" s="30"/>
    </row>
    <row r="31" spans="1:11" x14ac:dyDescent="0.2">
      <c r="B31" s="51" t="s">
        <v>22</v>
      </c>
      <c r="H31" s="6"/>
      <c r="I31" s="30"/>
    </row>
    <row r="32" spans="1:11" ht="18" customHeight="1" x14ac:dyDescent="0.2">
      <c r="B32" s="41" t="s">
        <v>23</v>
      </c>
      <c r="G32" s="44" t="s">
        <v>24</v>
      </c>
      <c r="H32" s="5" t="s">
        <v>44</v>
      </c>
    </row>
    <row r="33" spans="2:7" ht="173.25" x14ac:dyDescent="0.2">
      <c r="B33" s="8" t="s">
        <v>46</v>
      </c>
      <c r="G33" s="43" t="s">
        <v>47</v>
      </c>
    </row>
    <row r="35" spans="2:7" x14ac:dyDescent="0.2">
      <c r="B35" s="53" t="s">
        <v>25</v>
      </c>
      <c r="G35" s="46" t="s">
        <v>26</v>
      </c>
    </row>
    <row r="36" spans="2:7" ht="189" x14ac:dyDescent="0.2">
      <c r="B36" s="52" t="s">
        <v>56</v>
      </c>
      <c r="G36" s="45" t="s">
        <v>48</v>
      </c>
    </row>
    <row r="38" spans="2:7" x14ac:dyDescent="0.2">
      <c r="B38" s="41" t="s">
        <v>27</v>
      </c>
      <c r="G38" s="46" t="s">
        <v>28</v>
      </c>
    </row>
    <row r="39" spans="2:7" ht="94.5" x14ac:dyDescent="0.2">
      <c r="B39" s="8" t="s">
        <v>50</v>
      </c>
      <c r="G39" s="42" t="s">
        <v>49</v>
      </c>
    </row>
    <row r="40" spans="2:7" ht="31.5" x14ac:dyDescent="0.2">
      <c r="B40" s="41" t="s">
        <v>40</v>
      </c>
    </row>
    <row r="41" spans="2:7" ht="141.75" x14ac:dyDescent="0.2">
      <c r="B41" s="8" t="s">
        <v>57</v>
      </c>
    </row>
  </sheetData>
  <printOptions horizontalCentered="1"/>
  <pageMargins left="0.7" right="0.7" top="0.5" bottom="0.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DETAIL</vt:lpstr>
      <vt:lpstr>UJ</vt:lpstr>
      <vt:lpstr>DETAIL (2)</vt:lpstr>
      <vt:lpstr>DETAIL!Print_Area</vt:lpstr>
      <vt:lpstr>'DETAIL (2)'!Print_Area</vt:lpstr>
      <vt:lpstr>UJ!Print_Area</vt:lpstr>
      <vt:lpstr>DETAIL!Print_Titles</vt:lpstr>
      <vt:lpstr>'DETAIL (2)'!Print_Titles</vt:lpstr>
      <vt:lpstr>UJ!Print_Titles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2013-07-08T09:36:48Z</dcterms:created>
  <dcterms:modified xsi:type="dcterms:W3CDTF">2023-07-14T11:48:54Z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</Properties>
</file>